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<sst xmlns="http://schemas.openxmlformats.org/spreadsheetml/2006/main" count="925" uniqueCount="849">
  <si>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</si>
  <si>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</si>
  <si>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</si>
  <si>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</si>
  <si>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</si>
  <si>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</si>
  <si>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</si>
  <si>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</si>
  <si>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</si>
  <si>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</si>
  <si>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</si>
  <si>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</si>
  <si>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</si>
  <si>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</si>
  <si>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</si>
  <si>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</si>
  <si>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</si>
  <si>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</si>
  <si>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</si>
  <si>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</si>
  <si>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</si>
  <si>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</si>
  <si>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</si>
  <si>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</si>
  <si>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</si>
  <si>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</si>
  <si>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</si>
  <si>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</si>
  <si>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</si>
  <si>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</si>
  <si>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</si>
  <si>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</si>
  <si>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</si>
  <si>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</si>
  <si>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</si>
  <si>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</si>
  <si>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</si>
  <si>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</si>
  <si>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</si>
  <si>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</si>
  <si>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</si>
  <si>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</si>
  <si>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</si>
  <si>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</si>
  <si>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</si>
  <si>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</si>
  <si>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</si>
  <si>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</si>
  <si>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</si>
  <si>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</si>
  <si>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</si>
  <si>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</si>
  <si>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</si>
  <si>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</si>
  <si>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</si>
  <si>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</si>
  <si>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</si>
  <si>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</si>
  <si>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</si>
  <si>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</si>
  <si>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</si>
  <si>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</si>
  <si>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</si>
  <si>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</si>
  <si>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</si>
  <si>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</si>
  <si>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</si>
  <si>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</si>
  <si>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</si>
  <si>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</si>
  <si>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</si>
  <si>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</si>
  <si>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</si>
  <si>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</si>
  <si>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</si>
  <si>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</si>
  <si>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</si>
  <si>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</si>
  <si>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</si>
  <si>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</si>
  <si>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</si>
  <si>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</si>
  <si>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</si>
  <si>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</si>
  <si>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</si>
  <si>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</si>
  <si>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</si>
  <si>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</si>
  <si>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</si>
  <si>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</si>
  <si>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</si>
  <si>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</si>
  <si>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</si>
  <si>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</si>
  <si>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</si>
  <si>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</si>
  <si>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</si>
  <si>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</si>
  <si>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</si>
  <si>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</si>
  <si>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</si>
  <si>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</si>
  <si>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</si>
  <si>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</si>
  <si>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</si>
  <si>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</si>
  <si>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</si>
  <si>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</si>
  <si>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</si>
  <si>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</si>
  <si>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</si>
  <si>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</si>
  <si>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</si>
  <si>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</si>
  <si>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</si>
  <si>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</si>
  <si>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</si>
  <si>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</si>
  <si>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</si>
  <si>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</si>
  <si>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</si>
  <si>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</si>
  <si>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</si>
  <si>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</si>
  <si>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</si>
  <si>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</si>
  <si>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</si>
  <si>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</si>
  <si>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</si>
  <si>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</si>
  <si>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</si>
  <si>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</si>
  <si>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</si>
  <si>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</si>
  <si>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</si>
  <si>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</si>
  <si>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</si>
  <si>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</si>
  <si>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</si>
  <si>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</si>
  <si>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</si>
  <si>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</si>
  <si>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</si>
  <si>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</si>
  <si>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</si>
  <si>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</si>
  <si>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</si>
  <si>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</si>
  <si>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</si>
  <si>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</si>
  <si>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</si>
  <si>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</si>
  <si>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</si>
  <si>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</si>
  <si>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</si>
  <si>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</si>
  <si>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</si>
  <si>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</si>
  <si>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</si>
  <si>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</si>
  <si>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</si>
  <si>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</si>
  <si>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</si>
  <si>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</si>
  <si>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</si>
  <si>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</si>
  <si>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</si>
  <si>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</si>
  <si>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</si>
  <si>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</si>
  <si>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</si>
  <si>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</si>
  <si>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</si>
  <si>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</si>
  <si>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</si>
  <si>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</si>
  <si>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</si>
  <si>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</si>
  <si>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Надійшло станом на 05.08.2015</t>
  </si>
  <si>
    <t>Профінансовано на 05.08.2015</t>
  </si>
  <si>
    <r>
      <t xml:space="preserve">Залишок коштів на рахунку на 05.08.2015 </t>
    </r>
    <r>
      <rPr>
        <b/>
        <sz val="9"/>
        <rFont val="Times New Roman"/>
        <family val="1"/>
      </rPr>
      <t>(без депозиту)</t>
    </r>
  </si>
  <si>
    <t>Розміщено на депозиті станом на 05.08.15</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</si>
  <si>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</si>
  <si>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</si>
  <si>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</si>
  <si>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</si>
  <si>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</si>
  <si>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</si>
  <si>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</si>
  <si>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</si>
  <si>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</si>
  <si>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</si>
  <si>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</si>
  <si>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</si>
  <si>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</si>
  <si>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</si>
  <si>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</si>
  <si>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</si>
  <si>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</si>
  <si>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</si>
  <si>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</si>
  <si>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</si>
  <si>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</si>
  <si>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</si>
  <si>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</si>
  <si>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</si>
  <si>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</si>
  <si>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</si>
  <si>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</si>
  <si>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</si>
  <si>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</si>
  <si>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</si>
  <si>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</si>
  <si>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</si>
  <si>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</si>
  <si>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</si>
  <si>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</si>
  <si>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</si>
  <si>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</si>
  <si>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</si>
  <si>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</si>
  <si>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</si>
  <si>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</si>
  <si>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</si>
  <si>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</si>
  <si>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</si>
  <si>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</si>
  <si>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</si>
  <si>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</si>
  <si>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</si>
  <si>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</si>
  <si>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</si>
  <si>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</si>
  <si>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</si>
  <si>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</si>
  <si>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</si>
  <si>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</si>
  <si>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</si>
  <si>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</si>
  <si>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</si>
  <si>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</si>
  <si>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</si>
  <si>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</si>
  <si>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</si>
  <si>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</si>
  <si>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</si>
  <si>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</si>
  <si>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</si>
  <si>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</si>
  <si>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</si>
  <si>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</si>
  <si>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</si>
  <si>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</si>
  <si>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</si>
  <si>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</si>
  <si>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</si>
  <si>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</si>
  <si>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</si>
  <si>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</si>
  <si>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</si>
  <si>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</si>
  <si>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</si>
  <si>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</si>
  <si>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</si>
  <si>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</si>
  <si>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</si>
  <si>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</si>
  <si>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</si>
  <si>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</si>
  <si>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</si>
  <si>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</si>
  <si>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</si>
  <si>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</si>
  <si>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</si>
  <si>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</si>
  <si>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</si>
  <si>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</si>
  <si>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</si>
  <si>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</si>
  <si>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</si>
  <si>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</si>
  <si>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</si>
  <si>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</si>
  <si>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</si>
  <si>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</si>
  <si>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</si>
  <si>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</si>
  <si>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</si>
  <si>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</si>
  <si>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</si>
  <si>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</si>
  <si>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</si>
  <si>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</si>
  <si>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</si>
  <si>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</si>
  <si>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</si>
  <si>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</si>
  <si>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</si>
  <si>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</si>
  <si>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</si>
  <si>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</si>
  <si>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</si>
  <si>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</si>
  <si>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</si>
  <si>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</si>
  <si>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</si>
  <si>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</si>
  <si>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</si>
  <si>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</si>
  <si>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</si>
  <si>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</si>
  <si>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</si>
  <si>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</si>
  <si>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</si>
  <si>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</si>
  <si>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</si>
  <si>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</si>
  <si>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</si>
  <si>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</si>
  <si>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</si>
  <si>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</si>
  <si>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</si>
  <si>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</si>
  <si>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</si>
  <si>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</si>
  <si>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</si>
  <si>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</si>
  <si>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</si>
  <si>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</si>
  <si>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</si>
  <si>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</si>
  <si>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</si>
  <si>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</si>
  <si>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</si>
  <si>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</si>
  <si>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</si>
  <si>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</si>
  <si>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</si>
  <si>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</si>
  <si>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</si>
  <si>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</si>
  <si>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</si>
  <si>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</si>
  <si>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</si>
  <si>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</si>
  <si>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</si>
  <si>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</si>
  <si>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</si>
  <si>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</si>
  <si>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</si>
  <si>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</si>
  <si>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</si>
  <si>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</si>
  <si>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</si>
  <si>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</si>
  <si>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</si>
  <si>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</si>
  <si>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</si>
  <si>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</si>
  <si>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</si>
  <si>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</si>
  <si>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</si>
  <si>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</si>
  <si>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</si>
  <si>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</si>
  <si>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</si>
  <si>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</si>
  <si>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</si>
  <si>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</si>
  <si>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</si>
  <si>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</si>
  <si>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</si>
  <si>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</si>
  <si>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</si>
  <si>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</si>
  <si>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</si>
  <si>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</si>
  <si>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</si>
  <si>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</si>
  <si>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</si>
  <si>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</si>
  <si>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</si>
  <si>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</si>
  <si>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</si>
  <si>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</si>
  <si>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</si>
  <si>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</si>
  <si>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</si>
  <si>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</si>
  <si>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</si>
  <si>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</si>
  <si>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</si>
  <si>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</si>
  <si>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</si>
  <si>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</si>
  <si>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</si>
  <si>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</si>
  <si>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</si>
  <si>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</si>
  <si>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</si>
  <si>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</si>
  <si>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</si>
  <si>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</si>
  <si>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</si>
  <si>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</si>
  <si>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</si>
  <si>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</si>
  <si>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</si>
  <si>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</si>
  <si>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</si>
  <si>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</si>
  <si>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</si>
  <si>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</si>
  <si>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</si>
  <si>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</si>
  <si>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</si>
  <si>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</si>
  <si>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</si>
  <si>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</si>
  <si>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</si>
  <si>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</si>
  <si>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</si>
  <si>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</si>
  <si>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</si>
  <si>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</si>
  <si>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</si>
  <si>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</si>
  <si>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</si>
  <si>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</si>
  <si>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</si>
  <si>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</si>
  <si>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</si>
  <si>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</si>
  <si>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</si>
  <si>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</si>
  <si>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</si>
  <si>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</si>
  <si>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</si>
  <si>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</si>
  <si>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</si>
  <si>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</si>
  <si>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</si>
  <si>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</si>
  <si>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</si>
  <si>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</si>
  <si>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</si>
  <si>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</si>
  <si>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</si>
  <si>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</si>
  <si>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</si>
  <si>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</si>
  <si>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</si>
  <si>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</si>
  <si>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</si>
  <si>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</si>
  <si>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</si>
  <si>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</si>
  <si>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</si>
  <si>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</si>
  <si>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</si>
  <si>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</si>
  <si>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</si>
  <si>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</si>
  <si>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</si>
  <si>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</si>
  <si>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</si>
  <si>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</si>
  <si>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</si>
  <si>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</si>
  <si>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</si>
  <si>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</si>
  <si>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</si>
  <si>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</si>
  <si>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</si>
  <si>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</si>
  <si>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</si>
  <si>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</si>
  <si>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</si>
  <si>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</si>
  <si>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</si>
  <si>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</si>
  <si>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</si>
  <si>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</si>
  <si>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</si>
  <si>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</si>
  <si>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</si>
  <si>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</si>
  <si>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</si>
  <si>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</si>
  <si>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</si>
  <si>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</si>
  <si>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</si>
  <si>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</si>
  <si>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</si>
  <si>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</si>
  <si>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</si>
  <si>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</si>
  <si>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</si>
  <si>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</si>
  <si>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</si>
  <si>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</si>
  <si>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</si>
  <si>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</si>
  <si>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</si>
  <si>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</si>
  <si>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</si>
  <si>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</si>
  <si>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</si>
  <si>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</si>
  <si>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</si>
  <si>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</si>
  <si>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</si>
  <si>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</si>
  <si>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</si>
  <si>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</si>
  <si>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</si>
  <si>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</si>
  <si>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</si>
  <si>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</si>
  <si>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</si>
  <si>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</si>
  <si>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</si>
  <si>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</si>
  <si>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</si>
  <si>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</si>
  <si>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</si>
  <si>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</si>
  <si>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</si>
  <si>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</si>
  <si>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</si>
  <si>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</si>
  <si>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</si>
  <si>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</si>
  <si>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</si>
  <si>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</si>
  <si>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</si>
  <si>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</si>
  <si>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</si>
  <si>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</si>
  <si>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</si>
  <si>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</si>
  <si>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</si>
  <si>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</si>
  <si>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</si>
  <si>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</si>
  <si>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</si>
  <si>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</si>
  <si>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</si>
  <si>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</si>
  <si>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</si>
  <si>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</si>
  <si>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</si>
  <si>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</si>
  <si>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</si>
  <si>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</si>
  <si>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</si>
  <si>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</si>
  <si>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</si>
  <si>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</si>
  <si>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</si>
  <si>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</si>
  <si>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</si>
  <si>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</si>
  <si>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</si>
  <si>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</si>
  <si>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</si>
  <si>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</si>
  <si>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</si>
  <si>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</si>
  <si>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</si>
  <si>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</si>
  <si>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</si>
  <si>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</si>
  <si>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</si>
  <si>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</si>
  <si>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</si>
  <si>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</si>
  <si>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</si>
  <si>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</si>
  <si>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</si>
  <si>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</si>
  <si>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</si>
  <si>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</si>
  <si>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</si>
  <si>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</si>
  <si>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</si>
  <si>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</si>
  <si>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</si>
  <si>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</si>
  <si>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</si>
  <si>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</si>
  <si>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</si>
  <si>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</si>
  <si>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</si>
  <si>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</si>
  <si>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</si>
  <si>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</si>
  <si>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</si>
  <si>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</si>
  <si>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</si>
  <si>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</si>
  <si>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</si>
  <si>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</si>
  <si>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</si>
  <si>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</si>
  <si>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</si>
  <si>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</si>
  <si>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</si>
  <si>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</si>
  <si>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</si>
  <si>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</si>
  <si>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</si>
  <si>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</si>
  <si>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</si>
  <si>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</si>
  <si>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</si>
  <si>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</si>
  <si>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</si>
  <si>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</si>
  <si>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</si>
  <si>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</si>
  <si>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</si>
  <si>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</si>
  <si>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</si>
  <si>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</si>
  <si>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</si>
  <si>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</si>
  <si>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</si>
  <si>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</si>
  <si>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</si>
  <si>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</si>
  <si>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</si>
  <si>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</si>
  <si>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</si>
  <si>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</si>
  <si>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</si>
  <si>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</si>
  <si>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</si>
  <si>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</si>
  <si>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</si>
  <si>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</si>
  <si>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</si>
  <si>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</si>
  <si>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</si>
  <si>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</si>
  <si>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</si>
  <si>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</si>
  <si>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</si>
  <si>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</si>
  <si>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</si>
  <si>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</si>
  <si>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</si>
  <si>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</si>
  <si>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</si>
  <si>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</si>
  <si>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</si>
  <si>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</si>
  <si>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</si>
  <si>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</si>
  <si>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</si>
  <si>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</si>
  <si>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</si>
  <si>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</si>
  <si>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</si>
  <si>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</si>
  <si>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</si>
  <si>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вул. Байди Вишневецького від Замкового узвозу до вул. Хрещатик</t>
  </si>
  <si>
    <t>3131-2382428,49
3210-117571,51</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</si>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</sst>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color indexed="63"/>
      </left>
      <right>
        <color indexed="63"/>
      </right>
      <top style="thin"/>
      <bottom style="thin"/>
    </border>
    <border>
      <left style="thin"/>
      <right style="thin"/>
      <top/>
      <bottom/>
    </border>
    <border>
      <left style="thin"/>
      <right style="thin"/>
      <top/>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78">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4"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6" fillId="0" borderId="22"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4" xfId="0" applyNumberFormat="1" applyFont="1" applyFill="1" applyBorder="1" applyAlignment="1" applyProtection="1">
      <alignment horizontal="center" vertical="top"/>
      <protection/>
    </xf>
    <xf numFmtId="189" fontId="34" fillId="0" borderId="18" xfId="0" applyNumberFormat="1" applyFont="1" applyFill="1" applyBorder="1" applyAlignment="1">
      <alignment horizontal="left" vertical="center" wrapText="1"/>
    </xf>
    <xf numFmtId="189" fontId="34" fillId="0" borderId="23"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1" fontId="16" fillId="0" borderId="22" xfId="79" applyNumberFormat="1" applyFont="1" applyFill="1" applyBorder="1" applyAlignment="1">
      <alignment horizontal="center" vertical="center" wrapText="1"/>
      <protection/>
    </xf>
    <xf numFmtId="1" fontId="16" fillId="0" borderId="27"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3" fillId="0" borderId="18" xfId="79" applyFont="1" applyBorder="1" applyAlignment="1">
      <alignment horizontal="center" vertical="center" wrapText="1"/>
      <protection/>
    </xf>
    <xf numFmtId="0" fontId="3" fillId="0" borderId="23"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3"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3"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3"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3"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3"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3"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0" fontId="16" fillId="0" borderId="11" xfId="75" applyFont="1" applyFill="1" applyBorder="1" applyAlignment="1">
      <alignment horizontal="left" vertical="top" wrapText="1"/>
      <protection/>
    </xf>
    <xf numFmtId="0" fontId="0" fillId="24" borderId="0" xfId="0" applyNumberFormat="1" applyFont="1" applyFill="1" applyAlignment="1" applyProtection="1">
      <alignment/>
      <protection/>
    </xf>
    <xf numFmtId="0" fontId="21" fillId="24" borderId="10" xfId="74" applyFont="1" applyFill="1" applyBorder="1" applyAlignment="1">
      <alignment horizontal="left" vertical="top" wrapText="1" indent="1"/>
      <protection/>
    </xf>
    <xf numFmtId="4" fontId="11" fillId="24" borderId="18" xfId="0" applyNumberFormat="1" applyFont="1" applyFill="1" applyBorder="1" applyAlignment="1">
      <alignment horizontal="center" vertical="center"/>
    </xf>
    <xf numFmtId="1" fontId="20" fillId="24" borderId="10" xfId="0" applyNumberFormat="1" applyFont="1" applyFill="1" applyBorder="1" applyAlignment="1">
      <alignment horizontal="center" vertical="center"/>
    </xf>
    <xf numFmtId="4" fontId="16" fillId="24" borderId="10" xfId="0" applyNumberFormat="1" applyFont="1" applyFill="1" applyBorder="1" applyAlignment="1">
      <alignment horizontal="center" vertical="center"/>
    </xf>
    <xf numFmtId="0" fontId="0" fillId="24" borderId="0" xfId="0" applyFont="1" applyFill="1" applyAlignment="1">
      <alignment/>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0"/>
  <sheetViews>
    <sheetView tabSelected="1" zoomScale="90" zoomScaleNormal="90" zoomScalePageLayoutView="0" workbookViewId="0" topLeftCell="B2">
      <pane ySplit="1" topLeftCell="BM171" activePane="bottomLeft" state="frozen"/>
      <selection pane="topLeft" activeCell="B2" sqref="B2"/>
      <selection pane="bottomLeft" activeCell="W176" sqref="W176"/>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621</v>
      </c>
      <c r="B2" s="345" t="s">
        <v>622</v>
      </c>
      <c r="C2" s="346"/>
      <c r="D2" s="346"/>
      <c r="E2" s="346"/>
      <c r="F2" s="346"/>
      <c r="G2" s="346"/>
      <c r="H2" s="346"/>
      <c r="I2" s="347"/>
      <c r="J2" s="153" t="s">
        <v>623</v>
      </c>
      <c r="K2" s="151" t="s">
        <v>624</v>
      </c>
      <c r="L2" s="151" t="s">
        <v>625</v>
      </c>
      <c r="M2" s="154" t="s">
        <v>626</v>
      </c>
      <c r="N2" s="154" t="s">
        <v>627</v>
      </c>
      <c r="O2" s="154" t="s">
        <v>628</v>
      </c>
      <c r="P2" s="154" t="s">
        <v>629</v>
      </c>
      <c r="Q2" s="154" t="s">
        <v>630</v>
      </c>
      <c r="R2" s="154" t="s">
        <v>631</v>
      </c>
      <c r="S2" s="154" t="s">
        <v>632</v>
      </c>
      <c r="T2" s="154" t="s">
        <v>633</v>
      </c>
      <c r="U2" s="154" t="s">
        <v>634</v>
      </c>
      <c r="V2" s="154" t="s">
        <v>635</v>
      </c>
      <c r="W2" s="155" t="s">
        <v>178</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54" t="s">
        <v>197</v>
      </c>
      <c r="C3" s="355"/>
      <c r="D3" s="355"/>
      <c r="E3" s="355"/>
      <c r="F3" s="355"/>
      <c r="G3" s="355"/>
      <c r="H3" s="355"/>
      <c r="I3" s="356"/>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f>
        <v>592974.15</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54" t="s">
        <v>223</v>
      </c>
      <c r="C4" s="355"/>
      <c r="D4" s="355"/>
      <c r="E4" s="355"/>
      <c r="F4" s="355"/>
      <c r="G4" s="355"/>
      <c r="H4" s="355"/>
      <c r="I4" s="356"/>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f>
        <v>3579761.5999999996</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54" t="s">
        <v>224</v>
      </c>
      <c r="C5" s="355"/>
      <c r="D5" s="355"/>
      <c r="E5" s="355"/>
      <c r="F5" s="355"/>
      <c r="G5" s="355"/>
      <c r="H5" s="355"/>
      <c r="I5" s="356"/>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f>
        <v>1818638.0300000003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57" t="s">
        <v>636</v>
      </c>
      <c r="C6" s="358"/>
      <c r="D6" s="358"/>
      <c r="E6" s="358"/>
      <c r="F6" s="358"/>
      <c r="G6" s="358"/>
      <c r="H6" s="358"/>
      <c r="I6" s="359"/>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5991373.779999999</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63" t="s">
        <v>225</v>
      </c>
      <c r="C7" s="364"/>
      <c r="D7" s="364"/>
      <c r="E7" s="364"/>
      <c r="F7" s="364"/>
      <c r="G7" s="364"/>
      <c r="H7" s="364"/>
      <c r="I7" s="365"/>
      <c r="J7" s="159">
        <f>91632102.35+248250+2500000+15600+14434+4358-27000+978255.41</f>
        <v>95365999.75999999</v>
      </c>
      <c r="K7" s="148"/>
      <c r="L7" s="148"/>
      <c r="M7" s="148">
        <v>0</v>
      </c>
      <c r="N7" s="148">
        <f>P736</f>
        <v>0</v>
      </c>
      <c r="O7" s="148">
        <f>Q736</f>
        <v>0</v>
      </c>
      <c r="P7" s="148">
        <f>4358+274531.81+18754.7</f>
        <v>297644.51</v>
      </c>
      <c r="Q7" s="148">
        <f>-27000</f>
        <v>-27000</v>
      </c>
      <c r="R7" s="148">
        <f>285418</f>
        <v>285418</v>
      </c>
      <c r="S7" s="148">
        <f>U736</f>
        <v>0</v>
      </c>
      <c r="T7" s="148">
        <f>V736</f>
        <v>0</v>
      </c>
      <c r="U7" s="148">
        <f>9550.9+390000</f>
        <v>399550.9</v>
      </c>
      <c r="V7" s="148">
        <f>X736</f>
        <v>50000</v>
      </c>
      <c r="W7" s="148">
        <f>500878.57+20883789.29+13803976.79+7506813.9+1188+2189400+1188+1247644.51+22646.7+28851.3+18786615.38</f>
        <v>64972992.44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63" t="s">
        <v>226</v>
      </c>
      <c r="C8" s="364"/>
      <c r="D8" s="364"/>
      <c r="E8" s="364"/>
      <c r="F8" s="364"/>
      <c r="G8" s="364"/>
      <c r="H8" s="364"/>
      <c r="I8" s="365"/>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f>
        <v>789648.3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32" t="s">
        <v>395</v>
      </c>
      <c r="C9" s="333"/>
      <c r="D9" s="333"/>
      <c r="E9" s="333"/>
      <c r="F9" s="333"/>
      <c r="G9" s="333"/>
      <c r="H9" s="333"/>
      <c r="I9" s="334"/>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60" t="s">
        <v>637</v>
      </c>
      <c r="C10" s="361"/>
      <c r="D10" s="361"/>
      <c r="E10" s="361"/>
      <c r="F10" s="361"/>
      <c r="G10" s="361"/>
      <c r="H10" s="361"/>
      <c r="I10" s="362"/>
      <c r="J10" s="166">
        <f>J6+J7+J8+J9</f>
        <v>113345038.75999999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71754014.52</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51" t="s">
        <v>638</v>
      </c>
      <c r="C11" s="352"/>
      <c r="D11" s="352"/>
      <c r="E11" s="352"/>
      <c r="F11" s="352"/>
      <c r="G11" s="352"/>
      <c r="H11" s="352"/>
      <c r="I11" s="353"/>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48" t="s">
        <v>180</v>
      </c>
      <c r="C12" s="349"/>
      <c r="D12" s="349"/>
      <c r="E12" s="349"/>
      <c r="F12" s="349"/>
      <c r="G12" s="349"/>
      <c r="H12" s="349"/>
      <c r="I12" s="350"/>
      <c r="J12" s="172">
        <f>J11+W10-W780-J13</f>
        <v>23965036.889999956</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291" t="s">
        <v>181</v>
      </c>
      <c r="C13" s="292"/>
      <c r="D13" s="292"/>
      <c r="E13" s="292"/>
      <c r="F13" s="292"/>
      <c r="G13" s="292"/>
      <c r="H13" s="292"/>
      <c r="I13" s="293"/>
      <c r="J13" s="172">
        <f>50132318.17+85000000</f>
        <v>135132318.17000002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354</v>
      </c>
      <c r="C15" s="193" t="s">
        <v>347</v>
      </c>
      <c r="D15" s="193" t="s">
        <v>190</v>
      </c>
      <c r="E15" s="194" t="s">
        <v>812</v>
      </c>
      <c r="F15" s="194" t="s">
        <v>349</v>
      </c>
      <c r="G15" s="194" t="s">
        <v>350</v>
      </c>
      <c r="H15" s="194" t="s">
        <v>351</v>
      </c>
      <c r="I15" s="194" t="s">
        <v>355</v>
      </c>
      <c r="J15" s="195" t="s">
        <v>844</v>
      </c>
      <c r="K15" s="196" t="s">
        <v>683</v>
      </c>
      <c r="L15" s="196" t="s">
        <v>684</v>
      </c>
      <c r="M15" s="196" t="s">
        <v>685</v>
      </c>
      <c r="N15" s="196" t="s">
        <v>686</v>
      </c>
      <c r="O15" s="196" t="s">
        <v>687</v>
      </c>
      <c r="P15" s="196" t="s">
        <v>688</v>
      </c>
      <c r="Q15" s="196" t="s">
        <v>689</v>
      </c>
      <c r="R15" s="196" t="s">
        <v>690</v>
      </c>
      <c r="S15" s="196" t="s">
        <v>691</v>
      </c>
      <c r="T15" s="196" t="s">
        <v>692</v>
      </c>
      <c r="U15" s="196" t="s">
        <v>693</v>
      </c>
      <c r="V15" s="196" t="s">
        <v>694</v>
      </c>
      <c r="W15" s="196" t="s">
        <v>179</v>
      </c>
      <c r="X15" s="196" t="s">
        <v>639</v>
      </c>
    </row>
    <row r="16" spans="1:24" s="8" customFormat="1" ht="15.75">
      <c r="A16" s="7"/>
      <c r="B16" s="197"/>
      <c r="C16" s="198"/>
      <c r="D16" s="319" t="s">
        <v>746</v>
      </c>
      <c r="E16" s="320"/>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114324.13</v>
      </c>
      <c r="X16" s="183">
        <f>K16+L16+M16+N16+O16+P16+Q16+R16-W16</f>
        <v>1887628</v>
      </c>
    </row>
    <row r="17" spans="1:24" s="8" customFormat="1" ht="15.75">
      <c r="A17" s="7"/>
      <c r="B17" s="294" t="s">
        <v>348</v>
      </c>
      <c r="C17" s="294" t="s">
        <v>346</v>
      </c>
      <c r="D17" s="323" t="s">
        <v>798</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114324.13</v>
      </c>
      <c r="X17" s="202">
        <f>K17+L17+M17+N17+O17+P17+Q17+R17-W17</f>
        <v>1187628</v>
      </c>
    </row>
    <row r="18" spans="1:24" s="8" customFormat="1" ht="63">
      <c r="A18" s="7"/>
      <c r="B18" s="294"/>
      <c r="C18" s="294"/>
      <c r="D18" s="324"/>
      <c r="E18" s="54" t="s">
        <v>799</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294"/>
      <c r="C19" s="294"/>
      <c r="D19" s="324"/>
      <c r="E19" s="28" t="s">
        <v>2</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294"/>
      <c r="C20" s="294"/>
      <c r="D20" s="324"/>
      <c r="E20" s="28" t="s">
        <v>3</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294"/>
      <c r="C21" s="294"/>
      <c r="D21" s="324"/>
      <c r="E21" s="28" t="s">
        <v>4</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294"/>
      <c r="C22" s="294"/>
      <c r="D22" s="324"/>
      <c r="E22" s="28" t="s">
        <v>5</v>
      </c>
      <c r="F22" s="55"/>
      <c r="G22" s="56"/>
      <c r="H22" s="224"/>
      <c r="I22" s="258">
        <v>3110</v>
      </c>
      <c r="J22" s="49">
        <v>290000</v>
      </c>
      <c r="K22" s="147"/>
      <c r="L22" s="147"/>
      <c r="M22" s="147"/>
      <c r="N22" s="147"/>
      <c r="O22" s="147">
        <v>290000</v>
      </c>
      <c r="P22" s="147"/>
      <c r="Q22" s="147"/>
      <c r="R22" s="147"/>
      <c r="S22" s="147"/>
      <c r="T22" s="147"/>
      <c r="U22" s="147"/>
      <c r="V22" s="147"/>
      <c r="W22" s="147">
        <v>42372</v>
      </c>
      <c r="X22" s="221">
        <f t="shared" si="4"/>
        <v>247628</v>
      </c>
    </row>
    <row r="23" spans="1:24" s="8" customFormat="1" ht="78.75">
      <c r="A23" s="7"/>
      <c r="B23" s="294"/>
      <c r="C23" s="294"/>
      <c r="D23" s="324"/>
      <c r="E23" s="28" t="s">
        <v>265</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294"/>
      <c r="C24" s="294"/>
      <c r="D24" s="324"/>
      <c r="E24" s="28" t="s">
        <v>266</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294"/>
      <c r="C25" s="294"/>
      <c r="D25" s="324"/>
      <c r="E25" s="28" t="s">
        <v>267</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294"/>
      <c r="C26" s="294"/>
      <c r="D26" s="325"/>
      <c r="E26" s="28" t="s">
        <v>6</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298" t="s">
        <v>815</v>
      </c>
      <c r="C27" s="298" t="s">
        <v>745</v>
      </c>
      <c r="D27" s="343" t="s">
        <v>824</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299"/>
      <c r="C28" s="299"/>
      <c r="D28" s="344"/>
      <c r="E28" s="28" t="s">
        <v>4</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21" t="s">
        <v>7</v>
      </c>
      <c r="E29" s="322"/>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295" t="s">
        <v>348</v>
      </c>
      <c r="C30" s="295" t="s">
        <v>346</v>
      </c>
      <c r="D30" s="323" t="s">
        <v>798</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296"/>
      <c r="C31" s="296"/>
      <c r="D31" s="324"/>
      <c r="E31" s="28" t="s">
        <v>344</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296"/>
      <c r="C32" s="296"/>
      <c r="D32" s="324"/>
      <c r="E32" s="31" t="s">
        <v>8</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296"/>
      <c r="C33" s="296"/>
      <c r="D33" s="324"/>
      <c r="E33" s="31" t="s">
        <v>481</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297"/>
      <c r="C34" s="297"/>
      <c r="D34" s="325"/>
      <c r="E34" s="31" t="s">
        <v>482</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19" t="s">
        <v>399</v>
      </c>
      <c r="E35" s="320"/>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10221820.750000002</v>
      </c>
      <c r="X35" s="221">
        <f t="shared" si="4"/>
        <v>26882453.540000007</v>
      </c>
    </row>
    <row r="36" spans="2:24" ht="15.75">
      <c r="B36" s="303" t="s">
        <v>816</v>
      </c>
      <c r="C36" s="303" t="s">
        <v>800</v>
      </c>
      <c r="D36" s="323" t="s">
        <v>320</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2778756.34</v>
      </c>
      <c r="X36" s="221">
        <f t="shared" si="4"/>
        <v>11505410.18</v>
      </c>
    </row>
    <row r="37" spans="2:24" ht="63">
      <c r="B37" s="304"/>
      <c r="C37" s="304"/>
      <c r="D37" s="324"/>
      <c r="E37" s="280" t="s">
        <v>13</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304"/>
      <c r="C38" s="304"/>
      <c r="D38" s="324"/>
      <c r="E38" s="285" t="s">
        <v>801</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304"/>
      <c r="C39" s="304"/>
      <c r="D39" s="324"/>
      <c r="E39" s="280" t="s">
        <v>802</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304"/>
      <c r="C40" s="304"/>
      <c r="D40" s="324"/>
      <c r="E40" s="281" t="s">
        <v>803</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304"/>
      <c r="C41" s="304"/>
      <c r="D41" s="324"/>
      <c r="E41" s="281" t="s">
        <v>804</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304"/>
      <c r="C42" s="304"/>
      <c r="D42" s="324"/>
      <c r="E42" s="281" t="s">
        <v>805</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304"/>
      <c r="C43" s="304"/>
      <c r="D43" s="324"/>
      <c r="E43" s="281" t="s">
        <v>806</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304"/>
      <c r="C44" s="304"/>
      <c r="D44" s="324"/>
      <c r="E44" s="281" t="s">
        <v>807</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304"/>
      <c r="C45" s="304"/>
      <c r="D45" s="324"/>
      <c r="E45" s="281" t="s">
        <v>808</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304"/>
      <c r="C46" s="304"/>
      <c r="D46" s="324"/>
      <c r="E46" s="281" t="s">
        <v>809</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304"/>
      <c r="C47" s="304"/>
      <c r="D47" s="324"/>
      <c r="E47" s="281" t="s">
        <v>301</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304"/>
      <c r="C48" s="304"/>
      <c r="D48" s="324"/>
      <c r="E48" s="281" t="s">
        <v>302</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304"/>
      <c r="C49" s="304"/>
      <c r="D49" s="324"/>
      <c r="E49" s="281" t="s">
        <v>303</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304"/>
      <c r="C50" s="304"/>
      <c r="D50" s="324"/>
      <c r="E50" s="281" t="s">
        <v>304</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304"/>
      <c r="C51" s="304"/>
      <c r="D51" s="324"/>
      <c r="E51" s="281" t="s">
        <v>123</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304"/>
      <c r="C52" s="304"/>
      <c r="D52" s="324"/>
      <c r="E52" s="281" t="s">
        <v>124</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304"/>
      <c r="C53" s="304"/>
      <c r="D53" s="324"/>
      <c r="E53" s="281" t="s">
        <v>125</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304"/>
      <c r="C54" s="304"/>
      <c r="D54" s="324"/>
      <c r="E54" s="281" t="s">
        <v>126</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304"/>
      <c r="C55" s="304"/>
      <c r="D55" s="324"/>
      <c r="E55" s="280" t="s">
        <v>127</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304"/>
      <c r="C56" s="304"/>
      <c r="D56" s="324"/>
      <c r="E56" s="286" t="s">
        <v>128</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304"/>
      <c r="C57" s="304"/>
      <c r="D57" s="324"/>
      <c r="E57" s="287" t="s">
        <v>129</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304"/>
      <c r="C58" s="304"/>
      <c r="D58" s="324"/>
      <c r="E58" s="286" t="s">
        <v>130</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304"/>
      <c r="C59" s="304"/>
      <c r="D59" s="324"/>
      <c r="E59" s="287" t="s">
        <v>131</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304"/>
      <c r="C60" s="304"/>
      <c r="D60" s="324"/>
      <c r="E60" s="287" t="s">
        <v>577</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304"/>
      <c r="C61" s="304"/>
      <c r="D61" s="324"/>
      <c r="E61" s="279" t="s">
        <v>99</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304"/>
      <c r="C62" s="304"/>
      <c r="D62" s="324"/>
      <c r="E62" s="286" t="s">
        <v>100</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304"/>
      <c r="C63" s="304"/>
      <c r="D63" s="324"/>
      <c r="E63" s="286" t="s">
        <v>101</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304"/>
      <c r="C64" s="304"/>
      <c r="D64" s="324"/>
      <c r="E64" s="286" t="s">
        <v>102</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304"/>
      <c r="C65" s="304"/>
      <c r="D65" s="324"/>
      <c r="E65" s="286" t="s">
        <v>825</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304"/>
      <c r="C66" s="304"/>
      <c r="D66" s="324"/>
      <c r="E66" s="286" t="s">
        <v>845</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304"/>
      <c r="C67" s="304"/>
      <c r="D67" s="324"/>
      <c r="E67" s="287" t="s">
        <v>846</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304"/>
      <c r="C68" s="304"/>
      <c r="D68" s="324"/>
      <c r="E68" s="287" t="s">
        <v>330</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304"/>
      <c r="C69" s="304"/>
      <c r="D69" s="324"/>
      <c r="E69" s="286" t="s">
        <v>331</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304"/>
      <c r="C70" s="304"/>
      <c r="D70" s="324"/>
      <c r="E70" s="31" t="s">
        <v>465</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304"/>
      <c r="C71" s="304"/>
      <c r="D71" s="324"/>
      <c r="E71" s="31" t="s">
        <v>791</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304"/>
      <c r="C72" s="304"/>
      <c r="D72" s="324"/>
      <c r="E72" s="31" t="s">
        <v>14</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304"/>
      <c r="C73" s="304"/>
      <c r="D73" s="324"/>
      <c r="E73" s="31" t="s">
        <v>15</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304"/>
      <c r="C74" s="304"/>
      <c r="D74" s="324"/>
      <c r="E74" s="31" t="s">
        <v>793</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304"/>
      <c r="C75" s="304"/>
      <c r="D75" s="324"/>
      <c r="E75" s="31" t="s">
        <v>16</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304"/>
      <c r="C76" s="304"/>
      <c r="D76" s="324"/>
      <c r="E76" s="31" t="s">
        <v>17</v>
      </c>
      <c r="F76" s="45"/>
      <c r="G76" s="46"/>
      <c r="H76" s="227"/>
      <c r="I76" s="260">
        <v>3132</v>
      </c>
      <c r="J76" s="9">
        <v>100000</v>
      </c>
      <c r="K76" s="210"/>
      <c r="L76" s="210"/>
      <c r="M76" s="210"/>
      <c r="N76" s="210"/>
      <c r="O76" s="210">
        <v>10000</v>
      </c>
      <c r="P76" s="210"/>
      <c r="Q76" s="210">
        <v>10000</v>
      </c>
      <c r="R76" s="210">
        <v>80000</v>
      </c>
      <c r="S76" s="210"/>
      <c r="T76" s="210"/>
      <c r="U76" s="210"/>
      <c r="V76" s="210"/>
      <c r="W76" s="147">
        <v>2151</v>
      </c>
      <c r="X76" s="221">
        <f t="shared" si="4"/>
        <v>97849</v>
      </c>
    </row>
    <row r="77" spans="2:24" ht="47.25">
      <c r="B77" s="304"/>
      <c r="C77" s="304"/>
      <c r="D77" s="324"/>
      <c r="E77" s="31" t="s">
        <v>516</v>
      </c>
      <c r="F77" s="45"/>
      <c r="G77" s="46"/>
      <c r="H77" s="227"/>
      <c r="I77" s="260">
        <v>3132</v>
      </c>
      <c r="J77" s="9">
        <v>150000</v>
      </c>
      <c r="K77" s="210"/>
      <c r="L77" s="210"/>
      <c r="M77" s="210"/>
      <c r="N77" s="210"/>
      <c r="O77" s="210">
        <v>10000</v>
      </c>
      <c r="P77" s="210"/>
      <c r="Q77" s="210">
        <v>42000</v>
      </c>
      <c r="R77" s="210">
        <v>98000</v>
      </c>
      <c r="S77" s="210"/>
      <c r="T77" s="210"/>
      <c r="U77" s="210"/>
      <c r="V77" s="210"/>
      <c r="W77" s="147"/>
      <c r="X77" s="221">
        <f t="shared" si="4"/>
        <v>150000</v>
      </c>
    </row>
    <row r="78" spans="2:24" ht="47.25">
      <c r="B78" s="304"/>
      <c r="C78" s="304"/>
      <c r="D78" s="324"/>
      <c r="E78" s="31" t="s">
        <v>517</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304"/>
      <c r="C79" s="304"/>
      <c r="D79" s="324"/>
      <c r="E79" s="31" t="s">
        <v>518</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304"/>
      <c r="C80" s="304"/>
      <c r="D80" s="324"/>
      <c r="E80" s="31" t="s">
        <v>519</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f>
        <v>10732.8</v>
      </c>
      <c r="X80" s="221">
        <f t="shared" si="4"/>
        <v>2644267.2</v>
      </c>
    </row>
    <row r="81" spans="2:24" ht="31.5">
      <c r="B81" s="304"/>
      <c r="C81" s="304"/>
      <c r="D81" s="324"/>
      <c r="E81" s="31" t="s">
        <v>10</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304"/>
      <c r="C82" s="304"/>
      <c r="D82" s="324"/>
      <c r="E82" s="31" t="s">
        <v>520</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304"/>
      <c r="C83" s="304"/>
      <c r="D83" s="324"/>
      <c r="E83" s="12" t="s">
        <v>19</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304"/>
      <c r="C84" s="304"/>
      <c r="D84" s="324"/>
      <c r="E84" s="12" t="s">
        <v>487</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304"/>
      <c r="C85" s="304"/>
      <c r="D85" s="324"/>
      <c r="E85" s="12" t="s">
        <v>488</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304"/>
      <c r="C86" s="304"/>
      <c r="D86" s="324"/>
      <c r="E86" s="12" t="s">
        <v>486</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304"/>
      <c r="C87" s="304"/>
      <c r="D87" s="324"/>
      <c r="E87" s="12" t="s">
        <v>368</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304"/>
      <c r="C88" s="304"/>
      <c r="D88" s="324"/>
      <c r="E88" s="31" t="s">
        <v>369</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304"/>
      <c r="C89" s="304"/>
      <c r="D89" s="324"/>
      <c r="E89" s="31" t="s">
        <v>661</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304"/>
      <c r="C90" s="304"/>
      <c r="D90" s="324"/>
      <c r="E90" s="31" t="s">
        <v>378</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c r="X90" s="221">
        <f t="shared" si="10"/>
        <v>600000</v>
      </c>
    </row>
    <row r="91" spans="2:24" ht="15.75">
      <c r="B91" s="304"/>
      <c r="C91" s="304"/>
      <c r="D91" s="324"/>
      <c r="E91" s="65" t="s">
        <v>379</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304"/>
      <c r="C92" s="304"/>
      <c r="D92" s="324"/>
      <c r="E92" s="65" t="s">
        <v>521</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304"/>
      <c r="C93" s="304"/>
      <c r="D93" s="324"/>
      <c r="E93" s="67" t="s">
        <v>522</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c r="X93" s="221">
        <f t="shared" si="10"/>
        <v>55000</v>
      </c>
    </row>
    <row r="94" spans="2:24" ht="47.25">
      <c r="B94" s="304"/>
      <c r="C94" s="304"/>
      <c r="D94" s="324"/>
      <c r="E94" s="68" t="s">
        <v>523</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304"/>
      <c r="C95" s="304"/>
      <c r="D95" s="324"/>
      <c r="E95" s="67" t="s">
        <v>524</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304"/>
      <c r="C96" s="304"/>
      <c r="D96" s="324"/>
      <c r="E96" s="67" t="s">
        <v>43</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304"/>
      <c r="C97" s="304"/>
      <c r="D97" s="324"/>
      <c r="E97" s="31" t="s">
        <v>44</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304"/>
      <c r="C98" s="304"/>
      <c r="D98" s="324"/>
      <c r="E98" s="31" t="s">
        <v>45</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c r="X98" s="221">
        <f t="shared" si="10"/>
        <v>220000</v>
      </c>
    </row>
    <row r="99" spans="2:24" ht="31.5">
      <c r="B99" s="304"/>
      <c r="C99" s="304"/>
      <c r="D99" s="324"/>
      <c r="E99" s="31" t="s">
        <v>46</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304"/>
      <c r="C100" s="304"/>
      <c r="D100" s="324"/>
      <c r="E100" s="31" t="s">
        <v>47</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304"/>
      <c r="C101" s="304"/>
      <c r="D101" s="324"/>
      <c r="E101" s="64" t="s">
        <v>48</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c r="X101" s="221">
        <f t="shared" si="10"/>
        <v>162400</v>
      </c>
    </row>
    <row r="102" spans="2:24" ht="47.25">
      <c r="B102" s="304"/>
      <c r="C102" s="304"/>
      <c r="D102" s="324"/>
      <c r="E102" s="64" t="s">
        <v>49</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304"/>
      <c r="C103" s="304"/>
      <c r="D103" s="324"/>
      <c r="E103" s="31" t="s">
        <v>230</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63">
      <c r="B104" s="304"/>
      <c r="C104" s="304"/>
      <c r="D104" s="324"/>
      <c r="E104" s="69" t="s">
        <v>231</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v>2340.59</v>
      </c>
      <c r="X104" s="221">
        <f t="shared" si="10"/>
        <v>67659.41</v>
      </c>
    </row>
    <row r="105" spans="2:24" ht="63">
      <c r="B105" s="304"/>
      <c r="C105" s="304"/>
      <c r="D105" s="324"/>
      <c r="E105" s="69" t="s">
        <v>232</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c r="X105" s="221">
        <f t="shared" si="10"/>
        <v>244000</v>
      </c>
    </row>
    <row r="106" spans="2:24" ht="63">
      <c r="B106" s="304"/>
      <c r="C106" s="304"/>
      <c r="D106" s="324"/>
      <c r="E106" s="31" t="s">
        <v>529</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304"/>
      <c r="C107" s="304"/>
      <c r="D107" s="324"/>
      <c r="E107" s="31" t="s">
        <v>530</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304"/>
      <c r="C108" s="304"/>
      <c r="D108" s="324"/>
      <c r="E108" s="31" t="s">
        <v>531</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304"/>
      <c r="C109" s="304"/>
      <c r="D109" s="324"/>
      <c r="E109" s="31" t="s">
        <v>60</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304"/>
      <c r="C110" s="304"/>
      <c r="D110" s="324"/>
      <c r="E110" s="31" t="s">
        <v>535</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304"/>
      <c r="C111" s="304"/>
      <c r="D111" s="324"/>
      <c r="E111" s="31" t="s">
        <v>90</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f>
        <v>2556</v>
      </c>
      <c r="X111" s="221">
        <f t="shared" si="10"/>
        <v>324444</v>
      </c>
    </row>
    <row r="112" spans="2:24" ht="47.25">
      <c r="B112" s="304"/>
      <c r="C112" s="304"/>
      <c r="D112" s="324"/>
      <c r="E112" s="31" t="s">
        <v>98</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304"/>
      <c r="C113" s="304"/>
      <c r="D113" s="324"/>
      <c r="E113" s="31" t="s">
        <v>774</v>
      </c>
      <c r="F113" s="49"/>
      <c r="G113" s="18"/>
      <c r="H113" s="231"/>
      <c r="I113" s="260">
        <v>3132</v>
      </c>
      <c r="J113" s="21">
        <v>350000</v>
      </c>
      <c r="K113" s="210"/>
      <c r="L113" s="210"/>
      <c r="M113" s="210"/>
      <c r="N113" s="210"/>
      <c r="O113" s="210">
        <v>10000</v>
      </c>
      <c r="P113" s="210"/>
      <c r="Q113" s="210">
        <v>340000</v>
      </c>
      <c r="R113" s="210"/>
      <c r="S113" s="210"/>
      <c r="T113" s="210"/>
      <c r="U113" s="210"/>
      <c r="V113" s="210"/>
      <c r="W113" s="147">
        <v>2151</v>
      </c>
      <c r="X113" s="221">
        <f t="shared" si="10"/>
        <v>347849</v>
      </c>
    </row>
    <row r="114" spans="2:24" ht="31.5">
      <c r="B114" s="304"/>
      <c r="C114" s="304"/>
      <c r="D114" s="324"/>
      <c r="E114" s="31" t="s">
        <v>775</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f>
        <v>1915.2</v>
      </c>
      <c r="X114" s="221">
        <f t="shared" si="10"/>
        <v>172084.8</v>
      </c>
    </row>
    <row r="115" spans="2:24" ht="78.75">
      <c r="B115" s="304"/>
      <c r="C115" s="304"/>
      <c r="D115" s="324"/>
      <c r="E115" s="31" t="s">
        <v>776</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304"/>
      <c r="C116" s="304"/>
      <c r="D116" s="324"/>
      <c r="E116" s="31" t="s">
        <v>777</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f>
        <v>0</v>
      </c>
      <c r="X116" s="221">
        <f t="shared" si="10"/>
        <v>244000</v>
      </c>
    </row>
    <row r="117" spans="2:24" ht="47.25">
      <c r="B117" s="304"/>
      <c r="C117" s="304"/>
      <c r="D117" s="324"/>
      <c r="E117" s="31" t="s">
        <v>74</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f>
        <v>2681.46</v>
      </c>
      <c r="X117" s="221">
        <f t="shared" si="10"/>
        <v>117318.54</v>
      </c>
    </row>
    <row r="118" spans="2:24" ht="31.5">
      <c r="B118" s="304"/>
      <c r="C118" s="304"/>
      <c r="D118" s="324"/>
      <c r="E118" s="31" t="s">
        <v>75</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304"/>
      <c r="C119" s="304"/>
      <c r="D119" s="324"/>
      <c r="E119" s="31" t="s">
        <v>570</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304"/>
      <c r="C120" s="304"/>
      <c r="D120" s="324"/>
      <c r="E120" s="31" t="s">
        <v>93</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304"/>
      <c r="C121" s="304"/>
      <c r="D121" s="324"/>
      <c r="E121" s="31" t="s">
        <v>94</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304"/>
      <c r="C122" s="304"/>
      <c r="D122" s="324"/>
      <c r="E122" s="31" t="s">
        <v>95</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304"/>
      <c r="C123" s="304"/>
      <c r="D123" s="324"/>
      <c r="E123" s="31" t="s">
        <v>271</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304"/>
      <c r="C124" s="304"/>
      <c r="D124" s="325"/>
      <c r="E124" s="31" t="s">
        <v>76</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c r="X124" s="221">
        <f t="shared" si="10"/>
        <v>120000</v>
      </c>
    </row>
    <row r="125" spans="2:24" ht="15.75">
      <c r="B125" s="303" t="s">
        <v>817</v>
      </c>
      <c r="C125" s="303" t="s">
        <v>830</v>
      </c>
      <c r="D125" s="307" t="s">
        <v>829</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3735861.14</v>
      </c>
      <c r="X125" s="221">
        <f t="shared" si="10"/>
        <v>10563473.629999999</v>
      </c>
    </row>
    <row r="126" spans="2:24" ht="78.75">
      <c r="B126" s="304"/>
      <c r="C126" s="304"/>
      <c r="D126" s="308"/>
      <c r="E126" s="279" t="s">
        <v>77</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304"/>
      <c r="C127" s="304"/>
      <c r="D127" s="308"/>
      <c r="E127" s="280" t="s">
        <v>78</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304"/>
      <c r="C128" s="304"/>
      <c r="D128" s="308"/>
      <c r="E128" s="281" t="s">
        <v>332</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304"/>
      <c r="C129" s="304"/>
      <c r="D129" s="308"/>
      <c r="E129" s="282" t="s">
        <v>333</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304"/>
      <c r="C130" s="304"/>
      <c r="D130" s="308"/>
      <c r="E130" s="283" t="s">
        <v>334</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304"/>
      <c r="C131" s="304"/>
      <c r="D131" s="308"/>
      <c r="E131" s="283" t="s">
        <v>335</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304"/>
      <c r="C132" s="304"/>
      <c r="D132" s="308"/>
      <c r="E132" s="283" t="s">
        <v>336</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304"/>
      <c r="C133" s="304"/>
      <c r="D133" s="308"/>
      <c r="E133" s="283" t="s">
        <v>337</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304"/>
      <c r="C134" s="304"/>
      <c r="D134" s="308"/>
      <c r="E134" s="283" t="s">
        <v>105</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304"/>
      <c r="C135" s="304"/>
      <c r="D135" s="308"/>
      <c r="E135" s="283" t="s">
        <v>106</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304"/>
      <c r="C136" s="304"/>
      <c r="D136" s="308"/>
      <c r="E136" s="280" t="s">
        <v>107</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304"/>
      <c r="C137" s="304"/>
      <c r="D137" s="308"/>
      <c r="E137" s="284" t="s">
        <v>108</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304"/>
      <c r="C138" s="304"/>
      <c r="D138" s="308"/>
      <c r="E138" s="285" t="s">
        <v>109</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304"/>
      <c r="C139" s="304"/>
      <c r="D139" s="308"/>
      <c r="E139" s="285" t="s">
        <v>110</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304"/>
      <c r="C140" s="304"/>
      <c r="D140" s="308"/>
      <c r="E140" s="280" t="s">
        <v>111</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304"/>
      <c r="C141" s="304"/>
      <c r="D141" s="308"/>
      <c r="E141" s="281" t="s">
        <v>112</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304"/>
      <c r="C142" s="304"/>
      <c r="D142" s="308"/>
      <c r="E142" s="281" t="s">
        <v>113</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304"/>
      <c r="C143" s="304"/>
      <c r="D143" s="308"/>
      <c r="E143" s="281" t="s">
        <v>114</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304"/>
      <c r="C144" s="304"/>
      <c r="D144" s="308"/>
      <c r="E144" s="281" t="s">
        <v>115</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304"/>
      <c r="C145" s="304"/>
      <c r="D145" s="308"/>
      <c r="E145" s="280" t="s">
        <v>116</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304"/>
      <c r="C146" s="304"/>
      <c r="D146" s="308"/>
      <c r="E146" s="280" t="s">
        <v>117</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304"/>
      <c r="C147" s="304"/>
      <c r="D147" s="308"/>
      <c r="E147" s="281" t="s">
        <v>118</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304"/>
      <c r="C148" s="304"/>
      <c r="D148" s="308"/>
      <c r="E148" s="281" t="s">
        <v>119</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304"/>
      <c r="C149" s="304"/>
      <c r="D149" s="308"/>
      <c r="E149" s="280" t="s">
        <v>120</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304"/>
      <c r="C150" s="304"/>
      <c r="D150" s="308"/>
      <c r="E150" s="285" t="s">
        <v>595</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304"/>
      <c r="C151" s="304"/>
      <c r="D151" s="308"/>
      <c r="E151" s="279" t="s">
        <v>537</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304"/>
      <c r="C152" s="304"/>
      <c r="D152" s="308"/>
      <c r="E152" s="284" t="s">
        <v>538</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304"/>
      <c r="C153" s="304"/>
      <c r="D153" s="308"/>
      <c r="E153" s="285" t="s">
        <v>539</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304"/>
      <c r="C154" s="304"/>
      <c r="D154" s="308"/>
      <c r="E154" s="285" t="s">
        <v>540</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304"/>
      <c r="C155" s="304"/>
      <c r="D155" s="308"/>
      <c r="E155" s="285" t="s">
        <v>541</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304"/>
      <c r="C156" s="304"/>
      <c r="D156" s="308"/>
      <c r="E156" s="285" t="s">
        <v>542</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304"/>
      <c r="C157" s="304"/>
      <c r="D157" s="308"/>
      <c r="E157" s="280" t="s">
        <v>66</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304"/>
      <c r="C158" s="304"/>
      <c r="D158" s="308"/>
      <c r="E158" s="47" t="s">
        <v>606</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304"/>
      <c r="C159" s="304"/>
      <c r="D159" s="308"/>
      <c r="E159" s="47" t="s">
        <v>607</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304"/>
      <c r="C160" s="304"/>
      <c r="D160" s="308"/>
      <c r="E160" s="31" t="s">
        <v>79</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304"/>
      <c r="C161" s="304"/>
      <c r="D161" s="308"/>
      <c r="E161" s="31" t="s">
        <v>80</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304"/>
      <c r="C162" s="304"/>
      <c r="D162" s="308"/>
      <c r="E162" s="73" t="s">
        <v>81</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304"/>
      <c r="C163" s="304"/>
      <c r="D163" s="308"/>
      <c r="E163" s="74" t="s">
        <v>82</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304"/>
      <c r="C164" s="304"/>
      <c r="D164" s="308"/>
      <c r="E164" s="67" t="s">
        <v>558</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304"/>
      <c r="C165" s="304"/>
      <c r="D165" s="308"/>
      <c r="E165" s="67" t="s">
        <v>734</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304"/>
      <c r="C166" s="304"/>
      <c r="D166" s="308"/>
      <c r="E166" s="67" t="s">
        <v>735</v>
      </c>
      <c r="F166" s="49"/>
      <c r="G166" s="18"/>
      <c r="H166" s="228"/>
      <c r="I166" s="260">
        <v>3132</v>
      </c>
      <c r="J166" s="21">
        <v>450000</v>
      </c>
      <c r="K166" s="210"/>
      <c r="L166" s="210"/>
      <c r="M166" s="210"/>
      <c r="N166" s="210"/>
      <c r="O166" s="210">
        <v>10000</v>
      </c>
      <c r="P166" s="210"/>
      <c r="Q166" s="210">
        <f>440000-300000</f>
        <v>140000</v>
      </c>
      <c r="R166" s="210"/>
      <c r="S166" s="210">
        <v>300000</v>
      </c>
      <c r="T166" s="210"/>
      <c r="U166" s="210"/>
      <c r="V166" s="210"/>
      <c r="W166" s="147"/>
      <c r="X166" s="221">
        <f t="shared" si="13"/>
        <v>150000</v>
      </c>
    </row>
    <row r="167" spans="2:24" ht="47.25">
      <c r="B167" s="304"/>
      <c r="C167" s="304"/>
      <c r="D167" s="308"/>
      <c r="E167" s="67" t="s">
        <v>736</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304"/>
      <c r="C168" s="304"/>
      <c r="D168" s="308"/>
      <c r="E168" s="67" t="s">
        <v>737</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304"/>
      <c r="C169" s="304"/>
      <c r="D169" s="308"/>
      <c r="E169" s="67" t="s">
        <v>559</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304"/>
      <c r="C170" s="304"/>
      <c r="D170" s="308"/>
      <c r="E170" s="67" t="s">
        <v>560</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304"/>
      <c r="C171" s="304"/>
      <c r="D171" s="308"/>
      <c r="E171" s="67" t="s">
        <v>561</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304"/>
      <c r="C172" s="304"/>
      <c r="D172" s="308"/>
      <c r="E172" s="67" t="s">
        <v>562</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304"/>
      <c r="C173" s="304"/>
      <c r="D173" s="308"/>
      <c r="E173" s="67" t="s">
        <v>563</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304"/>
      <c r="C174" s="304"/>
      <c r="D174" s="308"/>
      <c r="E174" s="67" t="s">
        <v>564</v>
      </c>
      <c r="F174" s="49"/>
      <c r="G174" s="18"/>
      <c r="H174" s="228"/>
      <c r="I174" s="260">
        <v>3132</v>
      </c>
      <c r="J174" s="21">
        <v>80000</v>
      </c>
      <c r="K174" s="210"/>
      <c r="L174" s="210"/>
      <c r="M174" s="210"/>
      <c r="N174" s="210"/>
      <c r="O174" s="210"/>
      <c r="P174" s="210"/>
      <c r="Q174" s="210">
        <v>80000</v>
      </c>
      <c r="R174" s="210"/>
      <c r="S174" s="210"/>
      <c r="T174" s="210"/>
      <c r="U174" s="210"/>
      <c r="V174" s="210"/>
      <c r="W174" s="147"/>
      <c r="X174" s="221">
        <f t="shared" si="13"/>
        <v>80000</v>
      </c>
    </row>
    <row r="175" spans="2:24" ht="31.5">
      <c r="B175" s="304"/>
      <c r="C175" s="304"/>
      <c r="D175" s="308"/>
      <c r="E175" s="67" t="s">
        <v>565</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3438+6112+210014</f>
        <v>219564</v>
      </c>
      <c r="X175" s="221">
        <f t="shared" si="13"/>
        <v>100036</v>
      </c>
    </row>
    <row r="176" spans="2:24" ht="15.75">
      <c r="B176" s="304"/>
      <c r="C176" s="304"/>
      <c r="D176" s="308"/>
      <c r="E176" s="67" t="s">
        <v>566</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304"/>
      <c r="C177" s="304"/>
      <c r="D177" s="308"/>
      <c r="E177" s="67" t="s">
        <v>547</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304"/>
      <c r="C178" s="304"/>
      <c r="D178" s="308"/>
      <c r="E178" s="67" t="s">
        <v>61</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304"/>
      <c r="C179" s="304"/>
      <c r="D179" s="308"/>
      <c r="E179" s="67" t="s">
        <v>62</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f>
        <v>6305.14</v>
      </c>
      <c r="X179" s="221">
        <f t="shared" si="13"/>
        <v>338694.86</v>
      </c>
    </row>
    <row r="180" spans="2:24" ht="47.25">
      <c r="B180" s="304"/>
      <c r="C180" s="304"/>
      <c r="D180" s="308"/>
      <c r="E180" s="67" t="s">
        <v>63</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304"/>
      <c r="C181" s="304"/>
      <c r="D181" s="308"/>
      <c r="E181" s="31" t="s">
        <v>64</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304"/>
      <c r="C182" s="304"/>
      <c r="D182" s="308"/>
      <c r="E182" s="67" t="s">
        <v>65</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c r="X182" s="221">
        <f t="shared" si="13"/>
        <v>42900</v>
      </c>
    </row>
    <row r="183" spans="2:24" ht="63">
      <c r="B183" s="304"/>
      <c r="C183" s="304"/>
      <c r="D183" s="308"/>
      <c r="E183" s="67" t="s">
        <v>572</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f>
        <v>100000</v>
      </c>
      <c r="S183" s="210">
        <f>200000</f>
        <v>200000</v>
      </c>
      <c r="T183" s="210"/>
      <c r="U183" s="210"/>
      <c r="V183" s="210"/>
      <c r="W183" s="147"/>
      <c r="X183" s="221">
        <f t="shared" si="13"/>
        <v>500000</v>
      </c>
    </row>
    <row r="184" spans="2:24" ht="63">
      <c r="B184" s="304"/>
      <c r="C184" s="304"/>
      <c r="D184" s="308"/>
      <c r="E184" s="67" t="s">
        <v>794</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304"/>
      <c r="C185" s="304"/>
      <c r="D185" s="308"/>
      <c r="E185" s="65" t="s">
        <v>573</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304"/>
      <c r="C186" s="304"/>
      <c r="D186" s="308"/>
      <c r="E186" s="65" t="s">
        <v>550</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304"/>
      <c r="C187" s="304"/>
      <c r="D187" s="308"/>
      <c r="E187" s="67" t="s">
        <v>548</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c r="X187" s="221">
        <f t="shared" si="13"/>
        <v>335000</v>
      </c>
    </row>
    <row r="188" spans="2:24" ht="31.5">
      <c r="B188" s="304"/>
      <c r="C188" s="304"/>
      <c r="D188" s="308"/>
      <c r="E188" s="31" t="s">
        <v>549</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304"/>
      <c r="C189" s="304"/>
      <c r="D189" s="308"/>
      <c r="E189" s="74" t="s">
        <v>297</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304"/>
      <c r="C190" s="304"/>
      <c r="D190" s="308"/>
      <c r="E190" s="31" t="s">
        <v>298</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c r="X190" s="221">
        <f t="shared" si="13"/>
        <v>200000</v>
      </c>
    </row>
    <row r="191" spans="2:24" ht="31.5">
      <c r="B191" s="304"/>
      <c r="C191" s="304"/>
      <c r="D191" s="308"/>
      <c r="E191" s="31" t="s">
        <v>299</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304"/>
      <c r="C192" s="304"/>
      <c r="D192" s="308"/>
      <c r="E192" s="75" t="s">
        <v>300</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f>
        <v>269316.6</v>
      </c>
      <c r="X192" s="221">
        <f t="shared" si="13"/>
        <v>280683.4</v>
      </c>
    </row>
    <row r="193" spans="2:24" ht="47.25">
      <c r="B193" s="304"/>
      <c r="C193" s="304"/>
      <c r="D193" s="308"/>
      <c r="E193" s="31" t="s">
        <v>439</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f>
        <v>37593.6</v>
      </c>
      <c r="X193" s="221">
        <f t="shared" si="13"/>
        <v>42406.4</v>
      </c>
    </row>
    <row r="194" spans="2:24" ht="47.25">
      <c r="B194" s="304"/>
      <c r="C194" s="304"/>
      <c r="D194" s="308"/>
      <c r="E194" s="31" t="s">
        <v>440</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304"/>
      <c r="C195" s="304"/>
      <c r="D195" s="308"/>
      <c r="E195" s="31" t="s">
        <v>441</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f>
        <v>62803.68</v>
      </c>
      <c r="X195" s="221">
        <f t="shared" si="13"/>
        <v>137196.32</v>
      </c>
    </row>
    <row r="196" spans="2:24" ht="31.5">
      <c r="B196" s="304"/>
      <c r="C196" s="304"/>
      <c r="D196" s="308"/>
      <c r="E196" s="31" t="s">
        <v>442</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304"/>
      <c r="C197" s="304"/>
      <c r="D197" s="308"/>
      <c r="E197" s="31" t="s">
        <v>443</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304"/>
      <c r="C198" s="304"/>
      <c r="D198" s="308"/>
      <c r="E198" s="31" t="s">
        <v>444</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304"/>
      <c r="C199" s="304"/>
      <c r="D199" s="308"/>
      <c r="E199" s="31" t="s">
        <v>445</v>
      </c>
      <c r="F199" s="49"/>
      <c r="G199" s="18"/>
      <c r="H199" s="231"/>
      <c r="I199" s="260">
        <v>3132</v>
      </c>
      <c r="J199" s="21">
        <v>350000</v>
      </c>
      <c r="K199" s="147"/>
      <c r="L199" s="147"/>
      <c r="M199" s="147"/>
      <c r="N199" s="147"/>
      <c r="O199" s="147">
        <v>110000</v>
      </c>
      <c r="P199" s="147">
        <f>-50000-60000</f>
        <v>-110000</v>
      </c>
      <c r="Q199" s="147">
        <f>50000+10000</f>
        <v>60000</v>
      </c>
      <c r="R199" s="147"/>
      <c r="S199" s="147">
        <f>90000+50000</f>
        <v>140000</v>
      </c>
      <c r="T199" s="147"/>
      <c r="U199" s="147"/>
      <c r="V199" s="147">
        <v>150000</v>
      </c>
      <c r="W199" s="147"/>
      <c r="X199" s="221">
        <f t="shared" si="13"/>
        <v>60000</v>
      </c>
    </row>
    <row r="200" spans="2:24" ht="47.25">
      <c r="B200" s="304"/>
      <c r="C200" s="304"/>
      <c r="D200" s="308"/>
      <c r="E200" s="31" t="s">
        <v>446</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304"/>
      <c r="C201" s="304"/>
      <c r="D201" s="308"/>
      <c r="E201" s="31" t="s">
        <v>103</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304"/>
      <c r="C202" s="304"/>
      <c r="D202" s="308"/>
      <c r="E202" s="31" t="s">
        <v>104</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f>
        <v>15883.439999999999</v>
      </c>
      <c r="X202" s="221">
        <f t="shared" si="13"/>
        <v>34116.56</v>
      </c>
    </row>
    <row r="203" spans="2:24" ht="31.5">
      <c r="B203" s="304"/>
      <c r="C203" s="304"/>
      <c r="D203" s="308"/>
      <c r="E203" s="31" t="s">
        <v>420</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304"/>
      <c r="C204" s="304"/>
      <c r="D204" s="308"/>
      <c r="E204" s="31" t="s">
        <v>421</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304"/>
      <c r="C205" s="304"/>
      <c r="D205" s="308"/>
      <c r="E205" s="31" t="s">
        <v>422</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304"/>
      <c r="C206" s="304"/>
      <c r="D206" s="308"/>
      <c r="E206" s="31" t="s">
        <v>423</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304"/>
      <c r="C207" s="304"/>
      <c r="D207" s="308"/>
      <c r="E207" s="31" t="s">
        <v>424</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c r="S207" s="147"/>
      <c r="T207" s="147">
        <v>50000</v>
      </c>
      <c r="U207" s="147">
        <f>110000</f>
        <v>110000</v>
      </c>
      <c r="V207" s="147">
        <v>50000</v>
      </c>
      <c r="W207" s="147">
        <f>6000+13697</f>
        <v>19697</v>
      </c>
      <c r="X207" s="221">
        <f t="shared" si="13"/>
        <v>80303</v>
      </c>
    </row>
    <row r="208" spans="2:24" ht="47.25">
      <c r="B208" s="304"/>
      <c r="C208" s="304"/>
      <c r="D208" s="308"/>
      <c r="E208" s="31" t="s">
        <v>425</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304"/>
      <c r="C209" s="304"/>
      <c r="D209" s="308"/>
      <c r="E209" s="31" t="s">
        <v>426</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304"/>
      <c r="C210" s="304"/>
      <c r="D210" s="308"/>
      <c r="E210" s="31" t="s">
        <v>427</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304"/>
      <c r="C211" s="304"/>
      <c r="D211" s="308"/>
      <c r="E211" s="31" t="s">
        <v>428</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c r="X211" s="221">
        <f aca="true" t="shared" si="16" ref="X211:X274">K211+L211+M211+N211+O211+P211+Q211+R211-W211</f>
        <v>700000</v>
      </c>
    </row>
    <row r="212" spans="2:24" ht="31.5">
      <c r="B212" s="304"/>
      <c r="C212" s="304"/>
      <c r="D212" s="308"/>
      <c r="E212" s="31" t="s">
        <v>429</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304"/>
      <c r="C213" s="304"/>
      <c r="D213" s="308"/>
      <c r="E213" s="31" t="s">
        <v>430</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305"/>
      <c r="C214" s="305"/>
      <c r="D214" s="309"/>
      <c r="E214" s="31" t="s">
        <v>519</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305"/>
      <c r="C215" s="305"/>
      <c r="D215" s="309"/>
      <c r="E215" s="31" t="s">
        <v>568</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305"/>
      <c r="C216" s="305"/>
      <c r="D216" s="309"/>
      <c r="E216" s="31" t="s">
        <v>569</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305"/>
      <c r="C217" s="305"/>
      <c r="D217" s="309"/>
      <c r="E217" s="31" t="s">
        <v>91</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f>
        <v>10217.71</v>
      </c>
      <c r="X217" s="221">
        <f t="shared" si="16"/>
        <v>9782.29</v>
      </c>
    </row>
    <row r="218" spans="2:24" ht="31.5">
      <c r="B218" s="305"/>
      <c r="C218" s="305"/>
      <c r="D218" s="309"/>
      <c r="E218" s="31" t="s">
        <v>96</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6"/>
      <c r="C219" s="306"/>
      <c r="D219" s="310"/>
      <c r="E219" s="29" t="s">
        <v>431</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f>
        <v>45213.6</v>
      </c>
      <c r="X219" s="221">
        <f t="shared" si="16"/>
        <v>44786.4</v>
      </c>
    </row>
    <row r="220" spans="2:24" ht="15.75">
      <c r="B220" s="311" t="s">
        <v>310</v>
      </c>
      <c r="C220" s="311" t="s">
        <v>32</v>
      </c>
      <c r="D220" s="307" t="s">
        <v>21</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94999.8</v>
      </c>
      <c r="X220" s="221">
        <f t="shared" si="16"/>
        <v>395000.2</v>
      </c>
    </row>
    <row r="221" spans="2:24" ht="63">
      <c r="B221" s="313"/>
      <c r="C221" s="313"/>
      <c r="D221" s="308"/>
      <c r="E221" s="31" t="s">
        <v>432</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13"/>
      <c r="C222" s="313"/>
      <c r="D222" s="308"/>
      <c r="E222" s="31" t="s">
        <v>433</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13"/>
      <c r="C223" s="313"/>
      <c r="D223" s="308"/>
      <c r="E223" s="31" t="s">
        <v>434</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13"/>
      <c r="C224" s="313"/>
      <c r="D224" s="308"/>
      <c r="E224" s="31" t="s">
        <v>571</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13"/>
      <c r="C225" s="313"/>
      <c r="D225" s="308"/>
      <c r="E225" s="31" t="s">
        <v>551</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13"/>
      <c r="C226" s="313"/>
      <c r="D226" s="308"/>
      <c r="E226" s="31" t="s">
        <v>412</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c r="X226" s="221">
        <f t="shared" si="16"/>
        <v>60000</v>
      </c>
    </row>
    <row r="227" spans="2:24" ht="63">
      <c r="B227" s="313"/>
      <c r="C227" s="313"/>
      <c r="D227" s="308"/>
      <c r="E227" s="31" t="s">
        <v>413</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12"/>
      <c r="C228" s="312"/>
      <c r="D228" s="310"/>
      <c r="E228" s="31" t="s">
        <v>795</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35" t="s">
        <v>311</v>
      </c>
      <c r="C229" s="335" t="s">
        <v>23</v>
      </c>
      <c r="D229" s="323" t="s">
        <v>22</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36"/>
      <c r="C230" s="336"/>
      <c r="D230" s="324"/>
      <c r="E230" s="72" t="s">
        <v>414</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37"/>
      <c r="C231" s="337"/>
      <c r="D231" s="325"/>
      <c r="E231" s="72" t="s">
        <v>92</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11" t="s">
        <v>25</v>
      </c>
      <c r="C232" s="311" t="s">
        <v>24</v>
      </c>
      <c r="D232" s="307" t="s">
        <v>824</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2250</v>
      </c>
      <c r="X232" s="221">
        <f t="shared" si="16"/>
        <v>363250</v>
      </c>
    </row>
    <row r="233" spans="2:24" ht="47.25">
      <c r="B233" s="313"/>
      <c r="C233" s="313"/>
      <c r="D233" s="308"/>
      <c r="E233" s="31" t="s">
        <v>415</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c r="X233" s="221">
        <f t="shared" si="16"/>
        <v>50000</v>
      </c>
    </row>
    <row r="234" spans="2:24" ht="47.25">
      <c r="B234" s="313"/>
      <c r="C234" s="313"/>
      <c r="D234" s="308"/>
      <c r="E234" s="31" t="s">
        <v>416</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12"/>
      <c r="C235" s="312"/>
      <c r="D235" s="310"/>
      <c r="E235" s="31" t="s">
        <v>417</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303" t="s">
        <v>26</v>
      </c>
      <c r="C236" s="303" t="s">
        <v>29</v>
      </c>
      <c r="D236" s="307" t="s">
        <v>312</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304"/>
      <c r="C237" s="304"/>
      <c r="D237" s="308"/>
      <c r="E237" s="47" t="s">
        <v>67</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304"/>
      <c r="C238" s="304"/>
      <c r="D238" s="308"/>
      <c r="E238" s="47" t="s">
        <v>68</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304"/>
      <c r="C239" s="304"/>
      <c r="D239" s="308"/>
      <c r="E239" s="47" t="s">
        <v>69</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304"/>
      <c r="C240" s="304"/>
      <c r="D240" s="308"/>
      <c r="E240" s="47" t="s">
        <v>408</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304"/>
      <c r="C241" s="304"/>
      <c r="D241" s="308"/>
      <c r="E241" s="47" t="s">
        <v>418</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6"/>
      <c r="C242" s="306"/>
      <c r="D242" s="310"/>
      <c r="E242" s="47" t="s">
        <v>281</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11" t="s">
        <v>27</v>
      </c>
      <c r="C243" s="311" t="s">
        <v>30</v>
      </c>
      <c r="D243" s="307" t="s">
        <v>834</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13"/>
      <c r="C244" s="313"/>
      <c r="D244" s="308"/>
      <c r="E244" s="31" t="s">
        <v>282</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13"/>
      <c r="C245" s="313"/>
      <c r="D245" s="308"/>
      <c r="E245" s="31" t="s">
        <v>283</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13"/>
      <c r="C246" s="313"/>
      <c r="D246" s="308"/>
      <c r="E246" s="31" t="s">
        <v>284</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12"/>
      <c r="C247" s="312"/>
      <c r="D247" s="310"/>
      <c r="E247" s="31" t="s">
        <v>285</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303" t="s">
        <v>28</v>
      </c>
      <c r="C248" s="303" t="s">
        <v>32</v>
      </c>
      <c r="D248" s="307" t="s">
        <v>31</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405388.66</v>
      </c>
      <c r="X248" s="221">
        <f t="shared" si="16"/>
        <v>1037569.45</v>
      </c>
    </row>
    <row r="249" spans="2:24" ht="94.5">
      <c r="B249" s="304"/>
      <c r="C249" s="304"/>
      <c r="D249" s="308"/>
      <c r="E249" s="280" t="s">
        <v>778</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304"/>
      <c r="C250" s="304"/>
      <c r="D250" s="308"/>
      <c r="E250" s="280" t="s">
        <v>779</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304"/>
      <c r="C251" s="304"/>
      <c r="D251" s="308"/>
      <c r="E251" s="280" t="s">
        <v>780</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304"/>
      <c r="C252" s="304"/>
      <c r="D252" s="308"/>
      <c r="E252" s="280" t="s">
        <v>781</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304"/>
      <c r="C253" s="304"/>
      <c r="D253" s="308"/>
      <c r="E253" s="280" t="s">
        <v>782</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304"/>
      <c r="C254" s="304"/>
      <c r="D254" s="308"/>
      <c r="E254" s="280" t="s">
        <v>783</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304"/>
      <c r="C255" s="304"/>
      <c r="D255" s="308"/>
      <c r="E255" s="280" t="s">
        <v>784</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304"/>
      <c r="C256" s="304"/>
      <c r="D256" s="308"/>
      <c r="E256" s="280" t="s">
        <v>785</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304"/>
      <c r="C257" s="304"/>
      <c r="D257" s="308"/>
      <c r="E257" s="48" t="s">
        <v>608</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304"/>
      <c r="C258" s="304"/>
      <c r="D258" s="308"/>
      <c r="E258" s="48" t="s">
        <v>435</v>
      </c>
      <c r="F258" s="45"/>
      <c r="G258" s="46"/>
      <c r="H258" s="227"/>
      <c r="I258" s="260">
        <v>3132</v>
      </c>
      <c r="J258" s="9">
        <v>100000</v>
      </c>
      <c r="K258" s="147"/>
      <c r="L258" s="147"/>
      <c r="M258" s="147"/>
      <c r="N258" s="147"/>
      <c r="O258" s="147">
        <v>40000</v>
      </c>
      <c r="P258" s="147"/>
      <c r="Q258" s="147">
        <v>60000</v>
      </c>
      <c r="R258" s="147"/>
      <c r="S258" s="147"/>
      <c r="T258" s="147"/>
      <c r="U258" s="147"/>
      <c r="V258" s="147"/>
      <c r="W258" s="147">
        <v>16188</v>
      </c>
      <c r="X258" s="221">
        <f t="shared" si="16"/>
        <v>83812</v>
      </c>
    </row>
    <row r="259" spans="2:24" ht="47.25">
      <c r="B259" s="304"/>
      <c r="C259" s="304"/>
      <c r="D259" s="308"/>
      <c r="E259" s="48" t="s">
        <v>436</v>
      </c>
      <c r="F259" s="45"/>
      <c r="G259" s="46"/>
      <c r="H259" s="227"/>
      <c r="I259" s="260">
        <v>3132</v>
      </c>
      <c r="J259" s="9">
        <v>40000</v>
      </c>
      <c r="K259" s="147"/>
      <c r="L259" s="147"/>
      <c r="M259" s="147"/>
      <c r="N259" s="147"/>
      <c r="O259" s="147">
        <v>40000</v>
      </c>
      <c r="P259" s="147"/>
      <c r="Q259" s="147"/>
      <c r="R259" s="147"/>
      <c r="S259" s="147"/>
      <c r="T259" s="147"/>
      <c r="U259" s="147"/>
      <c r="V259" s="147"/>
      <c r="W259" s="147"/>
      <c r="X259" s="221">
        <f t="shared" si="16"/>
        <v>40000</v>
      </c>
    </row>
    <row r="260" spans="2:24" ht="47.25">
      <c r="B260" s="304"/>
      <c r="C260" s="304"/>
      <c r="D260" s="308"/>
      <c r="E260" s="67" t="s">
        <v>437</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304"/>
      <c r="C261" s="304"/>
      <c r="D261" s="308"/>
      <c r="E261" s="31" t="s">
        <v>438</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304"/>
      <c r="C262" s="304"/>
      <c r="D262" s="308"/>
      <c r="E262" s="31" t="s">
        <v>597</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304"/>
      <c r="C263" s="304"/>
      <c r="D263" s="308"/>
      <c r="E263" s="31" t="s">
        <v>598</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304"/>
      <c r="C264" s="304"/>
      <c r="D264" s="308"/>
      <c r="E264" s="31" t="s">
        <v>599</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v>9581.39</v>
      </c>
      <c r="X264" s="221">
        <f t="shared" si="16"/>
        <v>70418.61</v>
      </c>
    </row>
    <row r="265" spans="2:24" ht="31.5">
      <c r="B265" s="304"/>
      <c r="C265" s="304"/>
      <c r="D265" s="308"/>
      <c r="E265" s="31" t="s">
        <v>600</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304"/>
      <c r="C266" s="304"/>
      <c r="D266" s="308"/>
      <c r="E266" s="31" t="s">
        <v>601</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305"/>
      <c r="C267" s="305"/>
      <c r="D267" s="309"/>
      <c r="E267" s="31" t="s">
        <v>519</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6"/>
      <c r="C268" s="306"/>
      <c r="D268" s="310"/>
      <c r="E268" s="31" t="s">
        <v>451</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v>5357.74</v>
      </c>
      <c r="X268" s="221">
        <f t="shared" si="16"/>
        <v>74642.26</v>
      </c>
    </row>
    <row r="269" spans="2:24" ht="15.75">
      <c r="B269" s="303" t="s">
        <v>813</v>
      </c>
      <c r="C269" s="303" t="s">
        <v>33</v>
      </c>
      <c r="D269" s="307" t="s">
        <v>319</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6"/>
      <c r="C270" s="306"/>
      <c r="D270" s="310"/>
      <c r="E270" s="70" t="s">
        <v>786</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303" t="s">
        <v>34</v>
      </c>
      <c r="C271" s="303" t="s">
        <v>37</v>
      </c>
      <c r="D271" s="307" t="s">
        <v>38</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513524.32000000007</v>
      </c>
      <c r="X271" s="221">
        <f t="shared" si="16"/>
        <v>903999.44</v>
      </c>
    </row>
    <row r="272" spans="2:24" ht="63">
      <c r="B272" s="304"/>
      <c r="C272" s="304"/>
      <c r="D272" s="308"/>
      <c r="E272" s="280" t="s">
        <v>787</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304"/>
      <c r="C273" s="304"/>
      <c r="D273" s="308"/>
      <c r="E273" s="280" t="s">
        <v>788</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304"/>
      <c r="C274" s="304"/>
      <c r="D274" s="308"/>
      <c r="E274" s="48" t="s">
        <v>609</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304"/>
      <c r="C275" s="304"/>
      <c r="D275" s="308"/>
      <c r="E275" s="48" t="s">
        <v>567</v>
      </c>
      <c r="F275" s="45"/>
      <c r="G275" s="46"/>
      <c r="H275" s="227"/>
      <c r="I275" s="260">
        <v>3110</v>
      </c>
      <c r="J275" s="9">
        <v>60000</v>
      </c>
      <c r="K275" s="147"/>
      <c r="L275" s="147"/>
      <c r="M275" s="147"/>
      <c r="N275" s="147"/>
      <c r="O275" s="147"/>
      <c r="P275" s="147">
        <v>60000</v>
      </c>
      <c r="Q275" s="147"/>
      <c r="R275" s="147"/>
      <c r="S275" s="147"/>
      <c r="T275" s="147"/>
      <c r="U275" s="147"/>
      <c r="V275" s="147"/>
      <c r="W275" s="147"/>
      <c r="X275" s="221">
        <f aca="true" t="shared" si="25" ref="X275:X338">K275+L275+M275+N275+O275+P275+Q275+R275-W275</f>
        <v>60000</v>
      </c>
    </row>
    <row r="276" spans="2:24" ht="47.25">
      <c r="B276" s="304"/>
      <c r="C276" s="304"/>
      <c r="D276" s="308"/>
      <c r="E276" s="67" t="s">
        <v>452</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f>
        <v>61444.8</v>
      </c>
      <c r="X276" s="221">
        <f t="shared" si="25"/>
        <v>43555.2</v>
      </c>
    </row>
    <row r="277" spans="2:24" ht="47.25">
      <c r="B277" s="304"/>
      <c r="C277" s="304"/>
      <c r="D277" s="308"/>
      <c r="E277" s="67" t="s">
        <v>602</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304"/>
      <c r="C278" s="304"/>
      <c r="D278" s="308"/>
      <c r="E278" s="67" t="s">
        <v>603</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304"/>
      <c r="C279" s="304"/>
      <c r="D279" s="308"/>
      <c r="E279" s="31" t="s">
        <v>163</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304"/>
      <c r="C280" s="304"/>
      <c r="D280" s="308"/>
      <c r="E280" s="31" t="s">
        <v>164</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304"/>
      <c r="C281" s="304"/>
      <c r="D281" s="308"/>
      <c r="E281" s="31" t="s">
        <v>847</v>
      </c>
      <c r="F281" s="49"/>
      <c r="G281" s="18"/>
      <c r="H281" s="231"/>
      <c r="I281" s="260">
        <v>3132</v>
      </c>
      <c r="J281" s="21">
        <v>25000</v>
      </c>
      <c r="K281" s="147"/>
      <c r="L281" s="147"/>
      <c r="M281" s="147"/>
      <c r="N281" s="147"/>
      <c r="O281" s="147">
        <v>25000</v>
      </c>
      <c r="P281" s="147"/>
      <c r="Q281" s="147"/>
      <c r="R281" s="147"/>
      <c r="S281" s="147"/>
      <c r="T281" s="147"/>
      <c r="U281" s="147"/>
      <c r="V281" s="147"/>
      <c r="W281" s="147"/>
      <c r="X281" s="221">
        <f t="shared" si="25"/>
        <v>25000</v>
      </c>
    </row>
    <row r="282" spans="2:24" ht="31.5">
      <c r="B282" s="304"/>
      <c r="C282" s="304"/>
      <c r="D282" s="308"/>
      <c r="E282" s="31" t="s">
        <v>848</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304"/>
      <c r="C283" s="304"/>
      <c r="D283" s="308"/>
      <c r="E283" s="31" t="s">
        <v>182</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304"/>
      <c r="C284" s="304"/>
      <c r="D284" s="308"/>
      <c r="E284" s="31" t="s">
        <v>183</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f>
        <v>106518</v>
      </c>
      <c r="X284" s="221">
        <f t="shared" si="25"/>
        <v>293482</v>
      </c>
    </row>
    <row r="285" spans="2:24" ht="47.25">
      <c r="B285" s="304"/>
      <c r="C285" s="304"/>
      <c r="D285" s="308"/>
      <c r="E285" s="31" t="s">
        <v>150</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304"/>
      <c r="C286" s="304"/>
      <c r="D286" s="308"/>
      <c r="E286" s="31" t="s">
        <v>519</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304"/>
      <c r="C287" s="304"/>
      <c r="D287" s="308"/>
      <c r="E287" s="31" t="s">
        <v>151</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303" t="s">
        <v>36</v>
      </c>
      <c r="C288" s="303" t="s">
        <v>37</v>
      </c>
      <c r="D288" s="307" t="s">
        <v>40</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304"/>
      <c r="C289" s="304"/>
      <c r="D289" s="308"/>
      <c r="E289" s="70" t="s">
        <v>786</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6"/>
      <c r="C290" s="306"/>
      <c r="D290" s="310"/>
      <c r="E290" s="80" t="s">
        <v>616</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303" t="s">
        <v>352</v>
      </c>
      <c r="C291" s="303" t="s">
        <v>353</v>
      </c>
      <c r="D291" s="307" t="s">
        <v>41</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304"/>
      <c r="C292" s="304"/>
      <c r="D292" s="308"/>
      <c r="E292" s="47" t="s">
        <v>85</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304"/>
      <c r="C293" s="304"/>
      <c r="D293" s="308"/>
      <c r="E293" s="29" t="s">
        <v>86</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304"/>
      <c r="C294" s="304"/>
      <c r="D294" s="308"/>
      <c r="E294" s="81" t="s">
        <v>617</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6"/>
      <c r="C295" s="306"/>
      <c r="D295" s="310"/>
      <c r="E295" s="67" t="s">
        <v>618</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303" t="s">
        <v>818</v>
      </c>
      <c r="C296" s="303" t="s">
        <v>830</v>
      </c>
      <c r="D296" s="307" t="s">
        <v>246</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304"/>
      <c r="C297" s="304"/>
      <c r="D297" s="308"/>
      <c r="E297" s="72" t="s">
        <v>87</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304"/>
      <c r="C298" s="304"/>
      <c r="D298" s="308"/>
      <c r="E298" s="47" t="s">
        <v>327</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304"/>
      <c r="C299" s="304"/>
      <c r="D299" s="308"/>
      <c r="E299" s="64" t="s">
        <v>328</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304"/>
      <c r="C300" s="304"/>
      <c r="D300" s="308"/>
      <c r="E300" s="64" t="s">
        <v>329</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304"/>
      <c r="C301" s="304"/>
      <c r="D301" s="308"/>
      <c r="E301" s="47" t="s">
        <v>466</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304"/>
      <c r="C302" s="304"/>
      <c r="D302" s="308"/>
      <c r="E302" s="47" t="s">
        <v>619</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304"/>
      <c r="C303" s="304"/>
      <c r="D303" s="308"/>
      <c r="E303" s="47" t="s">
        <v>620</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305"/>
      <c r="C304" s="305"/>
      <c r="D304" s="309"/>
      <c r="E304" s="47" t="s">
        <v>97</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6"/>
      <c r="C305" s="306"/>
      <c r="D305" s="310"/>
      <c r="E305" s="47" t="s">
        <v>610</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38" t="s">
        <v>819</v>
      </c>
      <c r="C306" s="338" t="s">
        <v>32</v>
      </c>
      <c r="D306" s="323" t="s">
        <v>467</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15683.64</v>
      </c>
      <c r="X306" s="221">
        <f t="shared" si="25"/>
        <v>129884.75000000001</v>
      </c>
    </row>
    <row r="307" spans="2:24" ht="78.75">
      <c r="B307" s="339"/>
      <c r="C307" s="339"/>
      <c r="D307" s="324"/>
      <c r="E307" s="70" t="s">
        <v>468</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39"/>
      <c r="C308" s="339"/>
      <c r="D308" s="324"/>
      <c r="E308" s="70" t="s">
        <v>611</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40"/>
      <c r="C309" s="340"/>
      <c r="D309" s="325"/>
      <c r="E309" s="70" t="s">
        <v>792</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f>
        <v>10115.25</v>
      </c>
      <c r="X309" s="221">
        <f t="shared" si="25"/>
        <v>69884.75</v>
      </c>
    </row>
    <row r="310" spans="2:24" ht="15.75">
      <c r="B310" s="311" t="s">
        <v>814</v>
      </c>
      <c r="C310" s="311" t="s">
        <v>353</v>
      </c>
      <c r="D310" s="307" t="s">
        <v>612</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1773516.8599999999</v>
      </c>
      <c r="X310" s="221">
        <f t="shared" si="25"/>
        <v>347822.89000000013</v>
      </c>
    </row>
    <row r="311" spans="2:24" ht="31.5">
      <c r="B311" s="313"/>
      <c r="C311" s="313"/>
      <c r="D311" s="308"/>
      <c r="E311" s="83" t="s">
        <v>613</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493805.2</v>
      </c>
      <c r="X311" s="221">
        <f t="shared" si="25"/>
        <v>146194.8</v>
      </c>
    </row>
    <row r="312" spans="2:24" ht="47.25">
      <c r="B312" s="313"/>
      <c r="C312" s="313"/>
      <c r="D312" s="308"/>
      <c r="E312" s="10" t="s">
        <v>614</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f>
        <v>490925.2</v>
      </c>
      <c r="X312" s="221">
        <f t="shared" si="25"/>
        <v>9074.799999999988</v>
      </c>
    </row>
    <row r="313" spans="2:24" ht="47.25">
      <c r="B313" s="313"/>
      <c r="C313" s="313"/>
      <c r="D313" s="308"/>
      <c r="E313" s="10" t="s">
        <v>615</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13"/>
      <c r="C314" s="313"/>
      <c r="D314" s="308"/>
      <c r="E314" s="12" t="s">
        <v>478</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f>
        <v>2880</v>
      </c>
      <c r="X314" s="221">
        <f t="shared" si="25"/>
        <v>67120</v>
      </c>
    </row>
    <row r="315" spans="2:24" ht="31.5">
      <c r="B315" s="313"/>
      <c r="C315" s="313"/>
      <c r="D315" s="308"/>
      <c r="E315" s="85" t="s">
        <v>457</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13"/>
      <c r="C316" s="313"/>
      <c r="D316" s="308"/>
      <c r="E316" s="87" t="s">
        <v>458</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13"/>
      <c r="C317" s="313"/>
      <c r="D317" s="308"/>
      <c r="E317" s="87" t="s">
        <v>459</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13"/>
      <c r="C318" s="313"/>
      <c r="D318" s="308"/>
      <c r="E318" s="47" t="s">
        <v>460</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13"/>
      <c r="C319" s="313"/>
      <c r="D319" s="308"/>
      <c r="E319" s="85" t="s">
        <v>461</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13"/>
      <c r="C320" s="313"/>
      <c r="D320" s="308"/>
      <c r="E320" s="47" t="s">
        <v>664</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13"/>
      <c r="C321" s="313"/>
      <c r="D321" s="308"/>
      <c r="E321" s="47" t="s">
        <v>665</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13"/>
      <c r="C322" s="313"/>
      <c r="D322" s="308"/>
      <c r="E322" s="31" t="s">
        <v>672</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13"/>
      <c r="C323" s="313"/>
      <c r="D323" s="308"/>
      <c r="E323" s="83" t="s">
        <v>673</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13"/>
      <c r="C324" s="313"/>
      <c r="D324" s="308"/>
      <c r="E324" s="31" t="s">
        <v>498</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19" t="s">
        <v>747</v>
      </c>
      <c r="E325" s="320"/>
      <c r="F325" s="100"/>
      <c r="G325" s="101"/>
      <c r="H325" s="234"/>
      <c r="I325" s="265"/>
      <c r="J325" s="43">
        <f>J326+J377+J402+J430+J433</f>
        <v>16913167.310000002</v>
      </c>
      <c r="K325" s="43">
        <f aca="true" t="shared" si="38" ref="K325:W325">K326+K377+K402+K430+K433</f>
        <v>0</v>
      </c>
      <c r="L325" s="43">
        <f t="shared" si="38"/>
        <v>1404653.81</v>
      </c>
      <c r="M325" s="43">
        <f t="shared" si="38"/>
        <v>562839</v>
      </c>
      <c r="N325" s="43">
        <f t="shared" si="38"/>
        <v>10500</v>
      </c>
      <c r="O325" s="43">
        <f t="shared" si="38"/>
        <v>1830718</v>
      </c>
      <c r="P325" s="43">
        <f t="shared" si="38"/>
        <v>1461150</v>
      </c>
      <c r="Q325" s="43">
        <f t="shared" si="38"/>
        <v>1405509</v>
      </c>
      <c r="R325" s="43">
        <f t="shared" si="38"/>
        <v>8054731.949999999</v>
      </c>
      <c r="S325" s="43">
        <f t="shared" si="38"/>
        <v>1233851.99</v>
      </c>
      <c r="T325" s="43">
        <f t="shared" si="38"/>
        <v>948046.4</v>
      </c>
      <c r="U325" s="43">
        <f t="shared" si="38"/>
        <v>0</v>
      </c>
      <c r="V325" s="43">
        <f t="shared" si="38"/>
        <v>0</v>
      </c>
      <c r="W325" s="43">
        <f t="shared" si="38"/>
        <v>4887898.3</v>
      </c>
      <c r="X325" s="221">
        <f t="shared" si="25"/>
        <v>9842203.46</v>
      </c>
    </row>
    <row r="326" spans="2:24" ht="15.75">
      <c r="B326" s="303" t="s">
        <v>820</v>
      </c>
      <c r="C326" s="303" t="s">
        <v>247</v>
      </c>
      <c r="D326" s="307" t="s">
        <v>469</v>
      </c>
      <c r="E326" s="94"/>
      <c r="F326" s="76"/>
      <c r="G326" s="99"/>
      <c r="H326" s="235"/>
      <c r="I326" s="266"/>
      <c r="J326" s="222">
        <f>J327+J328+J329+J333+J334+J335+J336+J337+J338+J342+J347+J353+J354+J364+J365+J367+J368+J369+J370+J371+J372+J373+J374+J339+J340+J341+J366+J376</f>
        <v>8042596.99</v>
      </c>
      <c r="K326" s="222">
        <f aca="true" t="shared" si="39" ref="K326:W326">K327+K328+K329+K333+K334+K335+K336+K337+K338+K342+K347+K353+K354+K364+K365+K367+K368+K369+K370+K371+K372+K373+K374+K339+K340+K341+K366+K376</f>
        <v>0</v>
      </c>
      <c r="L326" s="222">
        <f t="shared" si="39"/>
        <v>370514.57</v>
      </c>
      <c r="M326" s="222">
        <f t="shared" si="39"/>
        <v>558900</v>
      </c>
      <c r="N326" s="222">
        <f t="shared" si="39"/>
        <v>10500</v>
      </c>
      <c r="O326" s="222">
        <f t="shared" si="39"/>
        <v>1344096</v>
      </c>
      <c r="P326" s="222">
        <f t="shared" si="39"/>
        <v>640910</v>
      </c>
      <c r="Q326" s="222">
        <f t="shared" si="39"/>
        <v>450509</v>
      </c>
      <c r="R326" s="222">
        <f t="shared" si="39"/>
        <v>4320047.42</v>
      </c>
      <c r="S326" s="222">
        <f t="shared" si="39"/>
        <v>147120</v>
      </c>
      <c r="T326" s="222">
        <f t="shared" si="39"/>
        <v>200000</v>
      </c>
      <c r="U326" s="222">
        <f t="shared" si="39"/>
        <v>0</v>
      </c>
      <c r="V326" s="222">
        <f t="shared" si="39"/>
        <v>0</v>
      </c>
      <c r="W326" s="222">
        <f t="shared" si="39"/>
        <v>2942980.01</v>
      </c>
      <c r="X326" s="221">
        <f t="shared" si="25"/>
        <v>4752496.98</v>
      </c>
    </row>
    <row r="327" spans="2:24" ht="78.75">
      <c r="B327" s="304"/>
      <c r="C327" s="304"/>
      <c r="D327" s="308"/>
      <c r="E327" s="19" t="s">
        <v>470</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304"/>
      <c r="C328" s="304"/>
      <c r="D328" s="308"/>
      <c r="E328" s="20" t="s">
        <v>471</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304"/>
      <c r="C329" s="304"/>
      <c r="D329" s="308"/>
      <c r="E329" s="10" t="s">
        <v>88</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304"/>
      <c r="C330" s="304"/>
      <c r="D330" s="308"/>
      <c r="E330" s="22" t="s">
        <v>473</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304"/>
      <c r="C331" s="304"/>
      <c r="D331" s="308"/>
      <c r="E331" s="23" t="s">
        <v>474</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304"/>
      <c r="C332" s="304"/>
      <c r="D332" s="308"/>
      <c r="E332" s="23" t="s">
        <v>475</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304"/>
      <c r="C333" s="304"/>
      <c r="D333" s="308"/>
      <c r="E333" s="10" t="s">
        <v>797</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304"/>
      <c r="C334" s="304"/>
      <c r="D334" s="308"/>
      <c r="E334" s="10" t="s">
        <v>513</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304"/>
      <c r="C335" s="304"/>
      <c r="D335" s="308"/>
      <c r="E335" s="10" t="s">
        <v>483</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304"/>
      <c r="C336" s="304"/>
      <c r="D336" s="308"/>
      <c r="E336" s="10" t="s">
        <v>484</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304"/>
      <c r="C337" s="304"/>
      <c r="D337" s="308"/>
      <c r="E337" s="10" t="s">
        <v>366</v>
      </c>
      <c r="F337" s="76"/>
      <c r="G337" s="18"/>
      <c r="H337" s="235"/>
      <c r="I337" s="262" t="s">
        <v>764</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304"/>
      <c r="C338" s="304"/>
      <c r="D338" s="308"/>
      <c r="E338" s="10" t="s">
        <v>842</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304"/>
      <c r="C339" s="304"/>
      <c r="D339" s="308"/>
      <c r="E339" s="10" t="s">
        <v>590</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3">K339+L339+M339+N339+O339+P339+Q339+R339-W339</f>
        <v>0</v>
      </c>
    </row>
    <row r="340" spans="2:24" ht="63">
      <c r="B340" s="304"/>
      <c r="C340" s="304"/>
      <c r="D340" s="308"/>
      <c r="E340" s="10" t="s">
        <v>591</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304"/>
      <c r="C341" s="304"/>
      <c r="D341" s="308"/>
      <c r="E341" s="10" t="s">
        <v>592</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304"/>
      <c r="C342" s="304"/>
      <c r="D342" s="308"/>
      <c r="E342" s="88" t="s">
        <v>499</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359333.5</v>
      </c>
    </row>
    <row r="343" spans="2:24" ht="15.75">
      <c r="B343" s="304"/>
      <c r="C343" s="304"/>
      <c r="D343" s="308"/>
      <c r="E343" s="89" t="s">
        <v>500</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304"/>
      <c r="C344" s="304"/>
      <c r="D344" s="308"/>
      <c r="E344" s="89" t="s">
        <v>501</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91200</v>
      </c>
    </row>
    <row r="345" spans="2:24" ht="15.75">
      <c r="B345" s="304"/>
      <c r="C345" s="304"/>
      <c r="D345" s="308"/>
      <c r="E345" s="89" t="s">
        <v>502</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176435</v>
      </c>
    </row>
    <row r="346" spans="2:24" ht="15.75">
      <c r="B346" s="304"/>
      <c r="C346" s="304"/>
      <c r="D346" s="308"/>
      <c r="E346" s="89" t="s">
        <v>188</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91611</v>
      </c>
    </row>
    <row r="347" spans="2:24" ht="63">
      <c r="B347" s="304"/>
      <c r="C347" s="304"/>
      <c r="D347" s="308"/>
      <c r="E347" s="88" t="s">
        <v>356</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230700</v>
      </c>
    </row>
    <row r="348" spans="2:24" ht="15.75">
      <c r="B348" s="304"/>
      <c r="C348" s="304"/>
      <c r="D348" s="308"/>
      <c r="E348" s="90" t="s">
        <v>357</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990</v>
      </c>
    </row>
    <row r="349" spans="2:24" ht="15.75">
      <c r="B349" s="304"/>
      <c r="C349" s="304"/>
      <c r="D349" s="308"/>
      <c r="E349" s="90" t="s">
        <v>358</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1390</v>
      </c>
    </row>
    <row r="350" spans="2:24" ht="15.75">
      <c r="B350" s="304"/>
      <c r="C350" s="304"/>
      <c r="D350" s="308"/>
      <c r="E350" s="90" t="s">
        <v>359</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304"/>
      <c r="C351" s="304"/>
      <c r="D351" s="308"/>
      <c r="E351" s="90" t="s">
        <v>360</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2120</v>
      </c>
    </row>
    <row r="352" spans="2:24" ht="15.75">
      <c r="B352" s="304"/>
      <c r="C352" s="304"/>
      <c r="D352" s="308"/>
      <c r="E352" s="90" t="s">
        <v>361</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226200</v>
      </c>
    </row>
    <row r="353" spans="2:24" ht="47.25">
      <c r="B353" s="304"/>
      <c r="C353" s="304"/>
      <c r="D353" s="308"/>
      <c r="E353" s="10" t="s">
        <v>362</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25000</v>
      </c>
    </row>
    <row r="354" spans="2:24" ht="47.25">
      <c r="B354" s="304"/>
      <c r="C354" s="304"/>
      <c r="D354" s="308"/>
      <c r="E354" s="88" t="s">
        <v>489</v>
      </c>
      <c r="F354" s="49"/>
      <c r="G354" s="50"/>
      <c r="H354" s="231"/>
      <c r="I354" s="266"/>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221">
        <f t="shared" si="40"/>
        <v>393854.17999999993</v>
      </c>
    </row>
    <row r="355" spans="2:24" ht="15.75">
      <c r="B355" s="304"/>
      <c r="C355" s="304"/>
      <c r="D355" s="308"/>
      <c r="E355" s="91" t="s">
        <v>490</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18050</v>
      </c>
    </row>
    <row r="356" spans="2:24" ht="47.25">
      <c r="B356" s="304"/>
      <c r="C356" s="304"/>
      <c r="D356" s="308"/>
      <c r="E356" s="91" t="s">
        <v>491</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40"/>
        <v>4641.419999999998</v>
      </c>
    </row>
    <row r="357" spans="2:24" ht="15.75">
      <c r="B357" s="304"/>
      <c r="C357" s="304"/>
      <c r="D357" s="308"/>
      <c r="E357" s="91" t="s">
        <v>492</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2310</v>
      </c>
    </row>
    <row r="358" spans="2:24" ht="15.75">
      <c r="B358" s="304"/>
      <c r="C358" s="304"/>
      <c r="D358" s="308"/>
      <c r="E358" s="91" t="s">
        <v>493</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5366.260000000009</v>
      </c>
    </row>
    <row r="359" spans="2:24" ht="15.75">
      <c r="B359" s="304"/>
      <c r="C359" s="304"/>
      <c r="D359" s="308"/>
      <c r="E359" s="91" t="s">
        <v>494</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6506.5</v>
      </c>
    </row>
    <row r="360" spans="2:24" ht="31.5" hidden="1">
      <c r="B360" s="304"/>
      <c r="C360" s="304"/>
      <c r="D360" s="308"/>
      <c r="E360" s="91" t="s">
        <v>495</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304"/>
      <c r="C361" s="304"/>
      <c r="D361" s="308"/>
      <c r="E361" s="277" t="s">
        <v>773</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235000</v>
      </c>
    </row>
    <row r="362" spans="2:24" ht="15.75">
      <c r="B362" s="304"/>
      <c r="C362" s="304"/>
      <c r="D362" s="308"/>
      <c r="E362" s="92" t="s">
        <v>496</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1980</v>
      </c>
    </row>
    <row r="363" spans="2:24" ht="15.75">
      <c r="B363" s="304"/>
      <c r="C363" s="304"/>
      <c r="D363" s="308"/>
      <c r="E363" s="92" t="s">
        <v>497</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120000</v>
      </c>
    </row>
    <row r="364" spans="2:24" ht="47.25">
      <c r="B364" s="304"/>
      <c r="C364" s="304"/>
      <c r="D364" s="308"/>
      <c r="E364" s="93" t="s">
        <v>0</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1100000</v>
      </c>
    </row>
    <row r="365" spans="2:24" ht="63">
      <c r="B365" s="304"/>
      <c r="C365" s="304"/>
      <c r="D365" s="308"/>
      <c r="E365" s="93" t="s">
        <v>1</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304"/>
      <c r="C366" s="304"/>
      <c r="D366" s="308"/>
      <c r="E366" s="93" t="s">
        <v>479</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20000</v>
      </c>
    </row>
    <row r="367" spans="2:24" ht="31.5">
      <c r="B367" s="304"/>
      <c r="C367" s="304"/>
      <c r="D367" s="308"/>
      <c r="E367" s="93" t="s">
        <v>480</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79220</v>
      </c>
    </row>
    <row r="368" spans="2:24" ht="110.25">
      <c r="B368" s="304"/>
      <c r="C368" s="304"/>
      <c r="D368" s="308"/>
      <c r="E368" s="88" t="s">
        <v>678</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f>
        <v>12022</v>
      </c>
      <c r="X368" s="221">
        <f t="shared" si="40"/>
        <v>55838</v>
      </c>
    </row>
    <row r="369" spans="2:24" ht="47.25">
      <c r="B369" s="304"/>
      <c r="C369" s="304"/>
      <c r="D369" s="308"/>
      <c r="E369" s="88" t="s">
        <v>679</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f>
        <v>3178</v>
      </c>
      <c r="X369" s="221">
        <f t="shared" si="40"/>
        <v>327822</v>
      </c>
    </row>
    <row r="370" spans="2:24" ht="63">
      <c r="B370" s="304"/>
      <c r="C370" s="304"/>
      <c r="D370" s="308"/>
      <c r="E370" s="88" t="s">
        <v>680</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686810</v>
      </c>
    </row>
    <row r="371" spans="2:24" ht="63" hidden="1">
      <c r="B371" s="304"/>
      <c r="C371" s="304"/>
      <c r="D371" s="308"/>
      <c r="E371" s="88" t="s">
        <v>681</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304"/>
      <c r="C372" s="304"/>
      <c r="D372" s="308"/>
      <c r="E372" s="88" t="s">
        <v>18</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50509.22</v>
      </c>
    </row>
    <row r="373" spans="2:24" ht="63">
      <c r="B373" s="304"/>
      <c r="C373" s="304"/>
      <c r="D373" s="308"/>
      <c r="E373" s="88" t="s">
        <v>215</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304"/>
      <c r="C374" s="304"/>
      <c r="D374" s="308"/>
      <c r="E374" s="88" t="s">
        <v>662</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f>
        <v>26905</v>
      </c>
      <c r="X374" s="221">
        <f t="shared" si="40"/>
        <v>773095</v>
      </c>
    </row>
    <row r="375" spans="2:24" ht="68.25" customHeight="1">
      <c r="B375" s="305"/>
      <c r="C375" s="305"/>
      <c r="D375" s="309"/>
      <c r="E375" s="88" t="s">
        <v>668</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40"/>
        <v>12458.58</v>
      </c>
    </row>
    <row r="376" spans="2:24" ht="31.5">
      <c r="B376" s="306"/>
      <c r="C376" s="306"/>
      <c r="D376" s="310"/>
      <c r="E376" s="88" t="s">
        <v>211</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40"/>
        <v>650000</v>
      </c>
    </row>
    <row r="377" spans="2:24" ht="15.75">
      <c r="B377" s="303" t="s">
        <v>821</v>
      </c>
      <c r="C377" s="303" t="s">
        <v>249</v>
      </c>
      <c r="D377" s="307" t="s">
        <v>248</v>
      </c>
      <c r="E377" s="94"/>
      <c r="F377" s="76"/>
      <c r="G377" s="99"/>
      <c r="H377" s="235"/>
      <c r="I377" s="266"/>
      <c r="J377" s="222">
        <f>J378+J379+J380+J381+J382+J383+J384+J385+J386</f>
        <v>2907559.51</v>
      </c>
      <c r="K377" s="222">
        <f aca="true" t="shared" si="45" ref="K377:W377">K378+K379+K380+K381+K382+K383+K384+K385+K386</f>
        <v>0</v>
      </c>
      <c r="L377" s="222">
        <f t="shared" si="45"/>
        <v>223334.82</v>
      </c>
      <c r="M377" s="222">
        <f t="shared" si="45"/>
        <v>0</v>
      </c>
      <c r="N377" s="222">
        <f t="shared" si="45"/>
        <v>0</v>
      </c>
      <c r="O377" s="222">
        <f t="shared" si="45"/>
        <v>153500</v>
      </c>
      <c r="P377" s="222">
        <f t="shared" si="45"/>
        <v>538446</v>
      </c>
      <c r="Q377" s="222">
        <f t="shared" si="45"/>
        <v>345000</v>
      </c>
      <c r="R377" s="222">
        <f t="shared" si="45"/>
        <v>1647278.69</v>
      </c>
      <c r="S377" s="222">
        <f t="shared" si="45"/>
        <v>0</v>
      </c>
      <c r="T377" s="222">
        <f t="shared" si="45"/>
        <v>0</v>
      </c>
      <c r="U377" s="222">
        <f t="shared" si="45"/>
        <v>0</v>
      </c>
      <c r="V377" s="222">
        <f t="shared" si="45"/>
        <v>0</v>
      </c>
      <c r="W377" s="222">
        <f t="shared" si="45"/>
        <v>781756.36</v>
      </c>
      <c r="X377" s="221">
        <f t="shared" si="40"/>
        <v>2125803.15</v>
      </c>
    </row>
    <row r="378" spans="2:24" ht="94.5">
      <c r="B378" s="304"/>
      <c r="C378" s="304"/>
      <c r="D378" s="308"/>
      <c r="E378" s="94" t="s">
        <v>485</v>
      </c>
      <c r="F378" s="76">
        <v>223334.82</v>
      </c>
      <c r="G378" s="18">
        <f aca="true" t="shared" si="46"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40"/>
        <v>0</v>
      </c>
    </row>
    <row r="379" spans="2:24" ht="78.75">
      <c r="B379" s="304"/>
      <c r="C379" s="304"/>
      <c r="D379" s="308"/>
      <c r="E379" s="95" t="s">
        <v>663</v>
      </c>
      <c r="F379" s="76">
        <v>101790</v>
      </c>
      <c r="G379" s="18">
        <f t="shared" si="46"/>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40"/>
        <v>6245.299999999988</v>
      </c>
    </row>
    <row r="380" spans="2:24" ht="94.5">
      <c r="B380" s="304"/>
      <c r="C380" s="304"/>
      <c r="D380" s="308"/>
      <c r="E380" s="95" t="s">
        <v>11</v>
      </c>
      <c r="F380" s="76">
        <v>160000</v>
      </c>
      <c r="G380" s="18">
        <f t="shared" si="46"/>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v>52225.87</v>
      </c>
      <c r="X380" s="221">
        <f t="shared" si="40"/>
        <v>130936.13</v>
      </c>
    </row>
    <row r="381" spans="2:24" ht="94.5">
      <c r="B381" s="304"/>
      <c r="C381" s="304"/>
      <c r="D381" s="308"/>
      <c r="E381" s="95" t="s">
        <v>12</v>
      </c>
      <c r="F381" s="76">
        <v>180000</v>
      </c>
      <c r="G381" s="18">
        <f t="shared" si="46"/>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v>47185.24</v>
      </c>
      <c r="X381" s="221">
        <f t="shared" si="40"/>
        <v>117831.76000000001</v>
      </c>
    </row>
    <row r="382" spans="2:24" ht="94.5">
      <c r="B382" s="304"/>
      <c r="C382" s="304"/>
      <c r="D382" s="308"/>
      <c r="E382" s="95" t="s">
        <v>227</v>
      </c>
      <c r="F382" s="76">
        <v>180000</v>
      </c>
      <c r="G382" s="18">
        <f t="shared" si="46"/>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v>49586.46</v>
      </c>
      <c r="X382" s="221">
        <f t="shared" si="40"/>
        <v>124777.23000000001</v>
      </c>
    </row>
    <row r="383" spans="2:24" ht="78.75">
      <c r="B383" s="304"/>
      <c r="C383" s="304"/>
      <c r="D383" s="308"/>
      <c r="E383" s="95" t="s">
        <v>722</v>
      </c>
      <c r="F383" s="76">
        <v>375000</v>
      </c>
      <c r="G383" s="18">
        <f t="shared" si="46"/>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v>137236.28</v>
      </c>
      <c r="X383" s="221">
        <f t="shared" si="40"/>
        <v>362669.72</v>
      </c>
    </row>
    <row r="384" spans="2:24" ht="94.5">
      <c r="B384" s="304"/>
      <c r="C384" s="304"/>
      <c r="D384" s="308"/>
      <c r="E384" s="95" t="s">
        <v>643</v>
      </c>
      <c r="F384" s="76">
        <v>78858</v>
      </c>
      <c r="G384" s="18">
        <f t="shared" si="46"/>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v>15035.39</v>
      </c>
      <c r="X384" s="221">
        <f t="shared" si="40"/>
        <v>62348.61</v>
      </c>
    </row>
    <row r="385" spans="2:24" ht="78.75">
      <c r="B385" s="304"/>
      <c r="C385" s="304"/>
      <c r="D385" s="308"/>
      <c r="E385" s="95" t="s">
        <v>644</v>
      </c>
      <c r="F385" s="76">
        <v>475000</v>
      </c>
      <c r="G385" s="18">
        <f t="shared" si="46"/>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40"/>
        <v>244266.64</v>
      </c>
    </row>
    <row r="386" spans="2:24" ht="47.25">
      <c r="B386" s="304"/>
      <c r="C386" s="304"/>
      <c r="D386" s="308"/>
      <c r="E386" s="95" t="s">
        <v>645</v>
      </c>
      <c r="F386" s="76"/>
      <c r="G386" s="18"/>
      <c r="H386" s="235"/>
      <c r="I386" s="266"/>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221">
        <f t="shared" si="40"/>
        <v>1076727.76</v>
      </c>
    </row>
    <row r="387" spans="2:24" ht="31.5">
      <c r="B387" s="304"/>
      <c r="C387" s="304"/>
      <c r="D387" s="308"/>
      <c r="E387" s="96" t="s">
        <v>646</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200000</v>
      </c>
    </row>
    <row r="388" spans="2:24" ht="15.75">
      <c r="B388" s="304"/>
      <c r="C388" s="304"/>
      <c r="D388" s="308"/>
      <c r="E388" s="96" t="s">
        <v>647</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40"/>
        <v>200000</v>
      </c>
    </row>
    <row r="389" spans="2:24" ht="15.75">
      <c r="B389" s="304"/>
      <c r="C389" s="304"/>
      <c r="D389" s="308"/>
      <c r="E389" s="96" t="s">
        <v>648</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40"/>
        <v>52000</v>
      </c>
    </row>
    <row r="390" spans="2:24" ht="15.75">
      <c r="B390" s="304"/>
      <c r="C390" s="304"/>
      <c r="D390" s="308"/>
      <c r="E390" s="96" t="s">
        <v>649</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40"/>
        <v>100000</v>
      </c>
    </row>
    <row r="391" spans="2:24" ht="15.75">
      <c r="B391" s="304"/>
      <c r="C391" s="304"/>
      <c r="D391" s="308"/>
      <c r="E391" s="96" t="s">
        <v>650</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40"/>
        <v>132000</v>
      </c>
    </row>
    <row r="392" spans="2:24" ht="15.75">
      <c r="B392" s="304"/>
      <c r="C392" s="304"/>
      <c r="D392" s="308"/>
      <c r="E392" s="96" t="s">
        <v>651</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40"/>
        <v>20000</v>
      </c>
    </row>
    <row r="393" spans="2:24" ht="15.75">
      <c r="B393" s="304"/>
      <c r="C393" s="304"/>
      <c r="D393" s="308"/>
      <c r="E393" s="96" t="s">
        <v>652</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40"/>
        <v>30000</v>
      </c>
    </row>
    <row r="394" spans="2:24" ht="15.75">
      <c r="B394" s="304"/>
      <c r="C394" s="304"/>
      <c r="D394" s="308"/>
      <c r="E394" s="96" t="s">
        <v>653</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40"/>
        <v>109400</v>
      </c>
    </row>
    <row r="395" spans="2:24" ht="15.75">
      <c r="B395" s="304"/>
      <c r="C395" s="304"/>
      <c r="D395" s="308"/>
      <c r="E395" s="96" t="s">
        <v>654</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40"/>
        <v>47.76000000000022</v>
      </c>
    </row>
    <row r="396" spans="2:24" ht="31.5">
      <c r="B396" s="304"/>
      <c r="C396" s="304"/>
      <c r="D396" s="308"/>
      <c r="E396" s="96" t="s">
        <v>655</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40"/>
        <v>40000</v>
      </c>
    </row>
    <row r="397" spans="2:24" ht="15.75">
      <c r="B397" s="304"/>
      <c r="C397" s="304"/>
      <c r="D397" s="308"/>
      <c r="E397" s="96" t="s">
        <v>656</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40"/>
        <v>18000</v>
      </c>
    </row>
    <row r="398" spans="2:24" ht="15.75">
      <c r="B398" s="304"/>
      <c r="C398" s="304"/>
      <c r="D398" s="308"/>
      <c r="E398" s="96" t="s">
        <v>657</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40"/>
        <v>60000</v>
      </c>
    </row>
    <row r="399" spans="2:24" ht="15.75">
      <c r="B399" s="304"/>
      <c r="C399" s="304"/>
      <c r="D399" s="308"/>
      <c r="E399" s="96" t="s">
        <v>658</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40"/>
        <v>66000</v>
      </c>
    </row>
    <row r="400" spans="2:24" ht="15.75">
      <c r="B400" s="304"/>
      <c r="C400" s="304"/>
      <c r="D400" s="308"/>
      <c r="E400" s="96" t="s">
        <v>659</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40"/>
        <v>1880</v>
      </c>
    </row>
    <row r="401" spans="2:24" ht="31.5">
      <c r="B401" s="306"/>
      <c r="C401" s="306"/>
      <c r="D401" s="310"/>
      <c r="E401" s="96" t="s">
        <v>660</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40"/>
        <v>47400</v>
      </c>
    </row>
    <row r="402" spans="2:24" ht="15.75">
      <c r="B402" s="303" t="s">
        <v>822</v>
      </c>
      <c r="C402" s="303" t="s">
        <v>250</v>
      </c>
      <c r="D402" s="307" t="s">
        <v>508</v>
      </c>
      <c r="E402" s="94"/>
      <c r="F402" s="76"/>
      <c r="G402" s="99"/>
      <c r="H402" s="235"/>
      <c r="I402" s="266"/>
      <c r="J402" s="222">
        <f>J403+J407+J410+J411+J413+J418+J419+J427+J429+J412+J426+J428</f>
        <v>4735058.71</v>
      </c>
      <c r="K402" s="222">
        <f aca="true" t="shared" si="48" ref="K402:W402">K403+K407+K410+K411+K413+K418+K419+K427+K429+K412+K426+K428</f>
        <v>0</v>
      </c>
      <c r="L402" s="222">
        <f t="shared" si="48"/>
        <v>703098.3200000001</v>
      </c>
      <c r="M402" s="222">
        <f t="shared" si="48"/>
        <v>3939</v>
      </c>
      <c r="N402" s="222">
        <f t="shared" si="48"/>
        <v>0</v>
      </c>
      <c r="O402" s="222">
        <f t="shared" si="48"/>
        <v>326622</v>
      </c>
      <c r="P402" s="222">
        <f t="shared" si="48"/>
        <v>200000</v>
      </c>
      <c r="Q402" s="222">
        <f t="shared" si="48"/>
        <v>350000</v>
      </c>
      <c r="R402" s="222">
        <f t="shared" si="48"/>
        <v>1427263.8399999999</v>
      </c>
      <c r="S402" s="222">
        <f t="shared" si="48"/>
        <v>974921.99</v>
      </c>
      <c r="T402" s="222">
        <f t="shared" si="48"/>
        <v>748046.4</v>
      </c>
      <c r="U402" s="222">
        <f t="shared" si="48"/>
        <v>0</v>
      </c>
      <c r="V402" s="222">
        <f t="shared" si="48"/>
        <v>0</v>
      </c>
      <c r="W402" s="222">
        <f t="shared" si="48"/>
        <v>1040421.77</v>
      </c>
      <c r="X402" s="221">
        <f t="shared" si="40"/>
        <v>1970501.3900000001</v>
      </c>
    </row>
    <row r="403" spans="2:24" ht="47.25">
      <c r="B403" s="304"/>
      <c r="C403" s="304"/>
      <c r="D403" s="308"/>
      <c r="E403" s="10" t="s">
        <v>509</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40"/>
        <v>0</v>
      </c>
    </row>
    <row r="404" spans="2:24" ht="47.25">
      <c r="B404" s="304"/>
      <c r="C404" s="304"/>
      <c r="D404" s="308"/>
      <c r="E404" s="11" t="s">
        <v>510</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9" ref="X404:X468">K404+L404+M404+N404+O404+P404+Q404+R404-W404</f>
        <v>0</v>
      </c>
    </row>
    <row r="405" spans="2:24" ht="47.25">
      <c r="B405" s="304"/>
      <c r="C405" s="304"/>
      <c r="D405" s="308"/>
      <c r="E405" s="11" t="s">
        <v>511</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47.25">
      <c r="B406" s="304"/>
      <c r="C406" s="304"/>
      <c r="D406" s="308"/>
      <c r="E406" s="11" t="s">
        <v>228</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9"/>
        <v>0</v>
      </c>
    </row>
    <row r="407" spans="2:24" ht="31.5">
      <c r="B407" s="304"/>
      <c r="C407" s="304"/>
      <c r="D407" s="308"/>
      <c r="E407" s="10" t="s">
        <v>229</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9"/>
        <v>0</v>
      </c>
    </row>
    <row r="408" spans="2:24" ht="47.25">
      <c r="B408" s="304"/>
      <c r="C408" s="304"/>
      <c r="D408" s="308"/>
      <c r="E408" s="11" t="s">
        <v>511</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47.25">
      <c r="B409" s="304"/>
      <c r="C409" s="304"/>
      <c r="D409" s="308"/>
      <c r="E409" s="11" t="s">
        <v>228</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9"/>
        <v>0</v>
      </c>
    </row>
    <row r="410" spans="2:24" ht="110.25">
      <c r="B410" s="304"/>
      <c r="C410" s="304"/>
      <c r="D410" s="308"/>
      <c r="E410" s="10" t="s">
        <v>381</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9"/>
        <v>0</v>
      </c>
    </row>
    <row r="411" spans="2:24" ht="63">
      <c r="B411" s="304"/>
      <c r="C411" s="304"/>
      <c r="D411" s="308"/>
      <c r="E411" s="24" t="s">
        <v>382</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9"/>
        <v>0</v>
      </c>
    </row>
    <row r="412" spans="2:24" ht="94.5">
      <c r="B412" s="304"/>
      <c r="C412" s="304"/>
      <c r="D412" s="308"/>
      <c r="E412" s="24" t="s">
        <v>593</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9"/>
        <v>0</v>
      </c>
    </row>
    <row r="413" spans="2:24" ht="47.25">
      <c r="B413" s="304"/>
      <c r="C413" s="304"/>
      <c r="D413" s="308"/>
      <c r="E413" s="88" t="s">
        <v>42</v>
      </c>
      <c r="F413" s="40"/>
      <c r="G413" s="40"/>
      <c r="H413" s="236"/>
      <c r="I413" s="266"/>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221">
        <f t="shared" si="49"/>
        <v>613946</v>
      </c>
    </row>
    <row r="414" spans="2:24" ht="15.75">
      <c r="B414" s="304"/>
      <c r="C414" s="304"/>
      <c r="D414" s="308"/>
      <c r="E414" s="89" t="s">
        <v>500</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9"/>
        <v>876</v>
      </c>
    </row>
    <row r="415" spans="2:24" ht="15.75">
      <c r="B415" s="304"/>
      <c r="C415" s="304"/>
      <c r="D415" s="308"/>
      <c r="E415" s="89" t="s">
        <v>501</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9"/>
        <v>48700</v>
      </c>
    </row>
    <row r="416" spans="2:24" ht="15.75">
      <c r="B416" s="304"/>
      <c r="C416" s="304"/>
      <c r="D416" s="308"/>
      <c r="E416" s="89" t="s">
        <v>502</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9"/>
        <v>411685</v>
      </c>
    </row>
    <row r="417" spans="2:24" ht="15.75">
      <c r="B417" s="304"/>
      <c r="C417" s="304"/>
      <c r="D417" s="308"/>
      <c r="E417" s="89" t="s">
        <v>188</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9"/>
        <v>152685</v>
      </c>
    </row>
    <row r="418" spans="2:24" ht="63">
      <c r="B418" s="304"/>
      <c r="C418" s="304"/>
      <c r="D418" s="308"/>
      <c r="E418" s="88" t="s">
        <v>705</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9"/>
        <v>0</v>
      </c>
    </row>
    <row r="419" spans="2:24" ht="15.75">
      <c r="B419" s="304"/>
      <c r="C419" s="304"/>
      <c r="D419" s="308"/>
      <c r="E419" s="88" t="s">
        <v>706</v>
      </c>
      <c r="F419" s="40"/>
      <c r="G419" s="40"/>
      <c r="H419" s="236"/>
      <c r="I419" s="266"/>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221">
        <f t="shared" si="49"/>
        <v>115361</v>
      </c>
    </row>
    <row r="420" spans="2:24" ht="31.5">
      <c r="B420" s="304"/>
      <c r="C420" s="304"/>
      <c r="D420" s="308"/>
      <c r="E420" s="97" t="s">
        <v>52</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9"/>
        <v>11310</v>
      </c>
    </row>
    <row r="421" spans="2:24" ht="31.5">
      <c r="B421" s="304"/>
      <c r="C421" s="304"/>
      <c r="D421" s="308"/>
      <c r="E421" s="97" t="s">
        <v>53</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9"/>
        <v>18096</v>
      </c>
    </row>
    <row r="422" spans="2:24" ht="31.5">
      <c r="B422" s="304"/>
      <c r="C422" s="304"/>
      <c r="D422" s="308"/>
      <c r="E422" s="97" t="s">
        <v>54</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9"/>
        <v>50895</v>
      </c>
    </row>
    <row r="423" spans="2:24" ht="31.5" hidden="1">
      <c r="B423" s="304"/>
      <c r="C423" s="304"/>
      <c r="D423" s="308"/>
      <c r="E423" s="97" t="s">
        <v>55</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9"/>
        <v>0</v>
      </c>
    </row>
    <row r="424" spans="1:24" s="377" customFormat="1" ht="31.5">
      <c r="A424" s="372"/>
      <c r="B424" s="304"/>
      <c r="C424" s="304"/>
      <c r="D424" s="308"/>
      <c r="E424" s="373" t="s">
        <v>56</v>
      </c>
      <c r="F424" s="190"/>
      <c r="G424" s="190"/>
      <c r="H424" s="374"/>
      <c r="I424" s="375">
        <v>3210</v>
      </c>
      <c r="J424" s="376">
        <v>35060</v>
      </c>
      <c r="K424" s="210"/>
      <c r="L424" s="210"/>
      <c r="M424" s="210"/>
      <c r="N424" s="210"/>
      <c r="O424" s="210"/>
      <c r="P424" s="210"/>
      <c r="Q424" s="210"/>
      <c r="R424" s="210">
        <v>35060</v>
      </c>
      <c r="S424" s="210"/>
      <c r="T424" s="210"/>
      <c r="U424" s="210"/>
      <c r="V424" s="210"/>
      <c r="W424" s="210"/>
      <c r="X424" s="202">
        <f t="shared" si="49"/>
        <v>35060</v>
      </c>
    </row>
    <row r="425" spans="2:24" ht="39.75" customHeight="1">
      <c r="B425" s="304"/>
      <c r="C425" s="304"/>
      <c r="D425" s="308"/>
      <c r="E425" s="98" t="s">
        <v>669</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c r="X425" s="221"/>
    </row>
    <row r="426" spans="2:24" ht="78.75">
      <c r="B426" s="304"/>
      <c r="C426" s="304"/>
      <c r="D426" s="308"/>
      <c r="E426" s="98" t="s">
        <v>57</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c r="X426" s="221">
        <f t="shared" si="49"/>
        <v>750000</v>
      </c>
    </row>
    <row r="427" spans="2:24" ht="63">
      <c r="B427" s="304"/>
      <c r="C427" s="304"/>
      <c r="D427" s="308"/>
      <c r="E427" s="88" t="s">
        <v>58</v>
      </c>
      <c r="F427" s="9">
        <v>1160942.96</v>
      </c>
      <c r="G427" s="18">
        <f>100%-((F427-H427)/F427)</f>
        <v>0.1308350239705145</v>
      </c>
      <c r="H427" s="231">
        <v>151892</v>
      </c>
      <c r="I427" s="266">
        <v>3210</v>
      </c>
      <c r="J427" s="49">
        <v>151892</v>
      </c>
      <c r="K427" s="147"/>
      <c r="L427" s="147"/>
      <c r="M427" s="147"/>
      <c r="N427" s="147"/>
      <c r="O427" s="147">
        <v>151892</v>
      </c>
      <c r="P427" s="147"/>
      <c r="Q427" s="147"/>
      <c r="R427" s="147"/>
      <c r="S427" s="147"/>
      <c r="T427" s="147"/>
      <c r="U427" s="147"/>
      <c r="V427" s="147"/>
      <c r="W427" s="147">
        <v>7936.4</v>
      </c>
      <c r="X427" s="221">
        <f t="shared" si="49"/>
        <v>143955.6</v>
      </c>
    </row>
    <row r="428" spans="2:24" ht="63">
      <c r="B428" s="304"/>
      <c r="C428" s="304"/>
      <c r="D428" s="308"/>
      <c r="E428" s="88" t="s">
        <v>50</v>
      </c>
      <c r="F428" s="9">
        <v>500000</v>
      </c>
      <c r="G428" s="18">
        <f>100%-((F428-H428)/F428)</f>
        <v>1</v>
      </c>
      <c r="H428" s="231">
        <v>500000</v>
      </c>
      <c r="I428" s="266">
        <v>3132</v>
      </c>
      <c r="J428" s="49">
        <v>500000</v>
      </c>
      <c r="K428" s="147"/>
      <c r="L428" s="147"/>
      <c r="M428" s="147"/>
      <c r="N428" s="147"/>
      <c r="O428" s="147"/>
      <c r="P428" s="147">
        <v>200000</v>
      </c>
      <c r="Q428" s="147">
        <v>300000</v>
      </c>
      <c r="R428" s="147"/>
      <c r="S428" s="147"/>
      <c r="T428" s="147"/>
      <c r="U428" s="147"/>
      <c r="V428" s="147"/>
      <c r="W428" s="147">
        <f>9067.21+143694</f>
        <v>152761.21</v>
      </c>
      <c r="X428" s="221">
        <f t="shared" si="49"/>
        <v>347238.79000000004</v>
      </c>
    </row>
    <row r="429" spans="2:24" ht="78.75">
      <c r="B429" s="306"/>
      <c r="C429" s="306"/>
      <c r="D429" s="310"/>
      <c r="E429" s="88" t="s">
        <v>51</v>
      </c>
      <c r="F429" s="49">
        <v>115355</v>
      </c>
      <c r="G429" s="18">
        <f>100%-((F429-H429)/F429)</f>
        <v>1</v>
      </c>
      <c r="H429" s="231">
        <v>115355</v>
      </c>
      <c r="I429" s="266">
        <v>3210</v>
      </c>
      <c r="J429" s="49">
        <v>115355</v>
      </c>
      <c r="K429" s="147"/>
      <c r="L429" s="147"/>
      <c r="M429" s="147"/>
      <c r="N429" s="147"/>
      <c r="O429" s="147">
        <v>115355</v>
      </c>
      <c r="P429" s="147"/>
      <c r="Q429" s="147"/>
      <c r="R429" s="147">
        <v>-1167.16</v>
      </c>
      <c r="S429" s="147"/>
      <c r="T429" s="147"/>
      <c r="U429" s="147"/>
      <c r="V429" s="147"/>
      <c r="W429" s="147">
        <v>114187.84</v>
      </c>
      <c r="X429" s="221">
        <f t="shared" si="49"/>
        <v>0</v>
      </c>
    </row>
    <row r="430" spans="2:24" ht="15.75">
      <c r="B430" s="303" t="s">
        <v>823</v>
      </c>
      <c r="C430" s="303" t="s">
        <v>252</v>
      </c>
      <c r="D430" s="307" t="s">
        <v>251</v>
      </c>
      <c r="E430" s="25"/>
      <c r="F430" s="76"/>
      <c r="G430" s="99"/>
      <c r="H430" s="235"/>
      <c r="I430" s="266"/>
      <c r="J430" s="220">
        <f>J431</f>
        <v>4962</v>
      </c>
      <c r="K430" s="220">
        <f aca="true" t="shared" si="52" ref="K430:W430">K431</f>
        <v>0</v>
      </c>
      <c r="L430" s="220">
        <f t="shared" si="52"/>
        <v>4962</v>
      </c>
      <c r="M430" s="220">
        <f t="shared" si="52"/>
        <v>0</v>
      </c>
      <c r="N430" s="220">
        <f t="shared" si="52"/>
        <v>0</v>
      </c>
      <c r="O430" s="220">
        <f t="shared" si="52"/>
        <v>0</v>
      </c>
      <c r="P430" s="220">
        <f t="shared" si="52"/>
        <v>0</v>
      </c>
      <c r="Q430" s="220">
        <f t="shared" si="52"/>
        <v>0</v>
      </c>
      <c r="R430" s="220">
        <f t="shared" si="52"/>
        <v>0</v>
      </c>
      <c r="S430" s="220">
        <f t="shared" si="52"/>
        <v>0</v>
      </c>
      <c r="T430" s="220">
        <f t="shared" si="52"/>
        <v>0</v>
      </c>
      <c r="U430" s="220">
        <f t="shared" si="52"/>
        <v>0</v>
      </c>
      <c r="V430" s="220">
        <f t="shared" si="52"/>
        <v>0</v>
      </c>
      <c r="W430" s="220">
        <f t="shared" si="52"/>
        <v>4962</v>
      </c>
      <c r="X430" s="221">
        <f t="shared" si="49"/>
        <v>0</v>
      </c>
    </row>
    <row r="431" spans="2:24" ht="63">
      <c r="B431" s="304"/>
      <c r="C431" s="304"/>
      <c r="D431" s="308"/>
      <c r="E431" s="10" t="s">
        <v>383</v>
      </c>
      <c r="F431" s="76"/>
      <c r="G431" s="99"/>
      <c r="H431" s="235"/>
      <c r="I431" s="266"/>
      <c r="J431" s="21">
        <f>J432</f>
        <v>4962</v>
      </c>
      <c r="K431" s="147"/>
      <c r="L431" s="21">
        <f>L432</f>
        <v>4962</v>
      </c>
      <c r="M431" s="147"/>
      <c r="N431" s="147"/>
      <c r="O431" s="147"/>
      <c r="P431" s="147"/>
      <c r="Q431" s="147"/>
      <c r="R431" s="147"/>
      <c r="S431" s="147"/>
      <c r="T431" s="147"/>
      <c r="U431" s="147"/>
      <c r="V431" s="147"/>
      <c r="W431" s="147">
        <f>W432</f>
        <v>4962</v>
      </c>
      <c r="X431" s="221">
        <f t="shared" si="49"/>
        <v>0</v>
      </c>
    </row>
    <row r="432" spans="2:24" ht="31.5">
      <c r="B432" s="306"/>
      <c r="C432" s="306"/>
      <c r="D432" s="310"/>
      <c r="E432" s="11" t="s">
        <v>841</v>
      </c>
      <c r="F432" s="76"/>
      <c r="G432" s="99"/>
      <c r="H432" s="235"/>
      <c r="I432" s="266">
        <v>3110</v>
      </c>
      <c r="J432" s="9">
        <v>4962</v>
      </c>
      <c r="K432" s="147"/>
      <c r="L432" s="9">
        <v>4962</v>
      </c>
      <c r="M432" s="147"/>
      <c r="N432" s="147"/>
      <c r="O432" s="147"/>
      <c r="P432" s="147"/>
      <c r="Q432" s="147"/>
      <c r="R432" s="147"/>
      <c r="S432" s="147"/>
      <c r="T432" s="147"/>
      <c r="U432" s="147"/>
      <c r="V432" s="147"/>
      <c r="W432" s="147">
        <v>4962</v>
      </c>
      <c r="X432" s="221">
        <f t="shared" si="49"/>
        <v>0</v>
      </c>
    </row>
    <row r="433" spans="2:24" ht="15.75">
      <c r="B433" s="303" t="s">
        <v>253</v>
      </c>
      <c r="C433" s="303" t="s">
        <v>247</v>
      </c>
      <c r="D433" s="307" t="s">
        <v>384</v>
      </c>
      <c r="E433" s="25"/>
      <c r="F433" s="76"/>
      <c r="G433" s="99"/>
      <c r="H433" s="235"/>
      <c r="I433" s="266"/>
      <c r="J433" s="220">
        <f>J434+J436+J435</f>
        <v>1222990.1</v>
      </c>
      <c r="K433" s="220">
        <f aca="true" t="shared" si="53" ref="K433:W433">K434+K436+K435</f>
        <v>0</v>
      </c>
      <c r="L433" s="220">
        <f t="shared" si="53"/>
        <v>102744.1</v>
      </c>
      <c r="M433" s="220">
        <f t="shared" si="53"/>
        <v>0</v>
      </c>
      <c r="N433" s="220">
        <f t="shared" si="53"/>
        <v>0</v>
      </c>
      <c r="O433" s="220">
        <f t="shared" si="53"/>
        <v>6500</v>
      </c>
      <c r="P433" s="220">
        <f t="shared" si="53"/>
        <v>81794</v>
      </c>
      <c r="Q433" s="220">
        <f t="shared" si="53"/>
        <v>260000</v>
      </c>
      <c r="R433" s="220">
        <f t="shared" si="53"/>
        <v>660142</v>
      </c>
      <c r="S433" s="220">
        <f t="shared" si="53"/>
        <v>111810</v>
      </c>
      <c r="T433" s="220">
        <f t="shared" si="53"/>
        <v>0</v>
      </c>
      <c r="U433" s="220">
        <f t="shared" si="53"/>
        <v>0</v>
      </c>
      <c r="V433" s="220">
        <f t="shared" si="53"/>
        <v>0</v>
      </c>
      <c r="W433" s="220">
        <f t="shared" si="53"/>
        <v>117778.16</v>
      </c>
      <c r="X433" s="221">
        <f t="shared" si="49"/>
        <v>993401.9400000001</v>
      </c>
    </row>
    <row r="434" spans="2:24" ht="110.25">
      <c r="B434" s="304"/>
      <c r="C434" s="304"/>
      <c r="D434" s="308"/>
      <c r="E434" s="24" t="s">
        <v>385</v>
      </c>
      <c r="F434" s="76">
        <v>754832.73</v>
      </c>
      <c r="G434" s="18">
        <f>100%-((F434-H434)/F434)</f>
        <v>0.3108529753340187</v>
      </c>
      <c r="H434" s="235">
        <v>234642</v>
      </c>
      <c r="I434" s="266">
        <v>3142</v>
      </c>
      <c r="J434" s="9">
        <v>102744.1</v>
      </c>
      <c r="K434" s="147"/>
      <c r="L434" s="9">
        <v>102744.1</v>
      </c>
      <c r="M434" s="147"/>
      <c r="N434" s="147"/>
      <c r="O434" s="147"/>
      <c r="P434" s="147"/>
      <c r="Q434" s="147"/>
      <c r="R434" s="147"/>
      <c r="S434" s="147"/>
      <c r="T434" s="147"/>
      <c r="U434" s="147"/>
      <c r="V434" s="147"/>
      <c r="W434" s="147">
        <v>102744.1</v>
      </c>
      <c r="X434" s="221">
        <f t="shared" si="49"/>
        <v>0</v>
      </c>
    </row>
    <row r="435" spans="2:24" ht="63">
      <c r="B435" s="305"/>
      <c r="C435" s="305"/>
      <c r="D435" s="309"/>
      <c r="E435" s="24" t="s">
        <v>789</v>
      </c>
      <c r="F435" s="76"/>
      <c r="G435" s="18"/>
      <c r="H435" s="235"/>
      <c r="I435" s="266">
        <v>3142</v>
      </c>
      <c r="J435" s="9">
        <v>955000</v>
      </c>
      <c r="K435" s="147"/>
      <c r="L435" s="148"/>
      <c r="M435" s="147"/>
      <c r="N435" s="147"/>
      <c r="O435" s="147"/>
      <c r="P435" s="147">
        <v>83190</v>
      </c>
      <c r="Q435" s="147">
        <v>260000</v>
      </c>
      <c r="R435" s="147">
        <v>500000</v>
      </c>
      <c r="S435" s="147">
        <v>111810</v>
      </c>
      <c r="T435" s="147"/>
      <c r="U435" s="147"/>
      <c r="V435" s="147"/>
      <c r="W435" s="147">
        <v>13186.06</v>
      </c>
      <c r="X435" s="221">
        <f t="shared" si="49"/>
        <v>830003.94</v>
      </c>
    </row>
    <row r="436" spans="2:24" ht="94.5">
      <c r="B436" s="306"/>
      <c r="C436" s="306"/>
      <c r="D436" s="310"/>
      <c r="E436" s="95" t="s">
        <v>525</v>
      </c>
      <c r="F436" s="76">
        <v>754832.73</v>
      </c>
      <c r="G436" s="18">
        <f>100%-((F436-H436)/F436)</f>
        <v>0.3108529753340187</v>
      </c>
      <c r="H436" s="235">
        <v>234642</v>
      </c>
      <c r="I436" s="266">
        <v>3142</v>
      </c>
      <c r="J436" s="49">
        <f>234642-69396</f>
        <v>165246</v>
      </c>
      <c r="K436" s="147"/>
      <c r="L436" s="147"/>
      <c r="M436" s="147"/>
      <c r="N436" s="147"/>
      <c r="O436" s="147">
        <v>6500</v>
      </c>
      <c r="P436" s="147">
        <f>68000-69396</f>
        <v>-1396</v>
      </c>
      <c r="Q436" s="147"/>
      <c r="R436" s="147">
        <v>160142</v>
      </c>
      <c r="S436" s="147"/>
      <c r="T436" s="147"/>
      <c r="U436" s="147"/>
      <c r="V436" s="147"/>
      <c r="W436" s="147">
        <v>1848</v>
      </c>
      <c r="X436" s="221">
        <f t="shared" si="49"/>
        <v>163398</v>
      </c>
    </row>
    <row r="437" spans="2:24" ht="15.75">
      <c r="B437" s="204"/>
      <c r="C437" s="205"/>
      <c r="D437" s="319" t="s">
        <v>545</v>
      </c>
      <c r="E437" s="320"/>
      <c r="F437" s="100"/>
      <c r="G437" s="101"/>
      <c r="H437" s="234"/>
      <c r="I437" s="265"/>
      <c r="J437" s="43">
        <f>J447+J445+J438</f>
        <v>2000433.4</v>
      </c>
      <c r="K437" s="43">
        <f aca="true" t="shared" si="54" ref="K437:W437">K447+K445+K438</f>
        <v>0</v>
      </c>
      <c r="L437" s="43">
        <f t="shared" si="54"/>
        <v>85683.4</v>
      </c>
      <c r="M437" s="43">
        <f t="shared" si="54"/>
        <v>0</v>
      </c>
      <c r="N437" s="43">
        <f t="shared" si="54"/>
        <v>4000</v>
      </c>
      <c r="O437" s="43">
        <f t="shared" si="54"/>
        <v>183800</v>
      </c>
      <c r="P437" s="43">
        <f t="shared" si="54"/>
        <v>350000</v>
      </c>
      <c r="Q437" s="43">
        <f t="shared" si="54"/>
        <v>350000</v>
      </c>
      <c r="R437" s="43">
        <f t="shared" si="54"/>
        <v>957500</v>
      </c>
      <c r="S437" s="43">
        <f t="shared" si="54"/>
        <v>69450</v>
      </c>
      <c r="T437" s="43">
        <f t="shared" si="54"/>
        <v>0</v>
      </c>
      <c r="U437" s="43">
        <f t="shared" si="54"/>
        <v>0</v>
      </c>
      <c r="V437" s="43">
        <f t="shared" si="54"/>
        <v>0</v>
      </c>
      <c r="W437" s="43">
        <f t="shared" si="54"/>
        <v>527017.5</v>
      </c>
      <c r="X437" s="221">
        <f t="shared" si="49"/>
        <v>1403965.9</v>
      </c>
    </row>
    <row r="438" spans="2:24" ht="15.75">
      <c r="B438" s="311" t="s">
        <v>348</v>
      </c>
      <c r="C438" s="329" t="s">
        <v>346</v>
      </c>
      <c r="D438" s="307" t="s">
        <v>798</v>
      </c>
      <c r="E438" s="94"/>
      <c r="F438" s="76"/>
      <c r="G438" s="99"/>
      <c r="H438" s="235"/>
      <c r="I438" s="266"/>
      <c r="J438" s="222">
        <f>SUM(J439:J444)</f>
        <v>743000</v>
      </c>
      <c r="K438" s="222">
        <f aca="true" t="shared" si="55" ref="K438:W438">SUM(K439:K444)</f>
        <v>0</v>
      </c>
      <c r="L438" s="222">
        <f t="shared" si="55"/>
        <v>0</v>
      </c>
      <c r="M438" s="222">
        <f t="shared" si="55"/>
        <v>0</v>
      </c>
      <c r="N438" s="222">
        <f t="shared" si="55"/>
        <v>0</v>
      </c>
      <c r="O438" s="222">
        <f t="shared" si="55"/>
        <v>85500</v>
      </c>
      <c r="P438" s="222">
        <f t="shared" si="55"/>
        <v>0</v>
      </c>
      <c r="Q438" s="222">
        <f t="shared" si="55"/>
        <v>0</v>
      </c>
      <c r="R438" s="222">
        <f t="shared" si="55"/>
        <v>657500</v>
      </c>
      <c r="S438" s="222">
        <f t="shared" si="55"/>
        <v>0</v>
      </c>
      <c r="T438" s="222">
        <f t="shared" si="55"/>
        <v>0</v>
      </c>
      <c r="U438" s="222">
        <f t="shared" si="55"/>
        <v>0</v>
      </c>
      <c r="V438" s="222">
        <f t="shared" si="55"/>
        <v>0</v>
      </c>
      <c r="W438" s="222">
        <f t="shared" si="55"/>
        <v>85500</v>
      </c>
      <c r="X438" s="221">
        <f t="shared" si="49"/>
        <v>657500</v>
      </c>
    </row>
    <row r="439" spans="2:24" ht="63">
      <c r="B439" s="313"/>
      <c r="C439" s="331"/>
      <c r="D439" s="308"/>
      <c r="E439" s="94" t="s">
        <v>526</v>
      </c>
      <c r="F439" s="76"/>
      <c r="G439" s="99"/>
      <c r="H439" s="235"/>
      <c r="I439" s="266">
        <v>3110</v>
      </c>
      <c r="J439" s="76">
        <v>204100</v>
      </c>
      <c r="K439" s="147"/>
      <c r="L439" s="147"/>
      <c r="M439" s="147"/>
      <c r="N439" s="147"/>
      <c r="O439" s="147"/>
      <c r="P439" s="147"/>
      <c r="Q439" s="147"/>
      <c r="R439" s="147">
        <v>204100</v>
      </c>
      <c r="S439" s="147"/>
      <c r="T439" s="147"/>
      <c r="U439" s="147"/>
      <c r="V439" s="147"/>
      <c r="W439" s="147"/>
      <c r="X439" s="221">
        <f t="shared" si="49"/>
        <v>204100</v>
      </c>
    </row>
    <row r="440" spans="2:24" ht="63">
      <c r="B440" s="313"/>
      <c r="C440" s="331"/>
      <c r="D440" s="308"/>
      <c r="E440" s="94" t="s">
        <v>527</v>
      </c>
      <c r="F440" s="76"/>
      <c r="G440" s="99"/>
      <c r="H440" s="235"/>
      <c r="I440" s="266">
        <v>3110</v>
      </c>
      <c r="J440" s="76">
        <v>134400</v>
      </c>
      <c r="K440" s="147"/>
      <c r="L440" s="147"/>
      <c r="M440" s="147"/>
      <c r="N440" s="147"/>
      <c r="O440" s="147"/>
      <c r="P440" s="147"/>
      <c r="Q440" s="147"/>
      <c r="R440" s="147">
        <v>134400</v>
      </c>
      <c r="S440" s="147"/>
      <c r="T440" s="147"/>
      <c r="U440" s="147"/>
      <c r="V440" s="147"/>
      <c r="W440" s="147"/>
      <c r="X440" s="221">
        <f t="shared" si="49"/>
        <v>134400</v>
      </c>
    </row>
    <row r="441" spans="2:24" ht="157.5">
      <c r="B441" s="313"/>
      <c r="C441" s="331"/>
      <c r="D441" s="308"/>
      <c r="E441" s="94" t="s">
        <v>528</v>
      </c>
      <c r="F441" s="76"/>
      <c r="G441" s="99"/>
      <c r="H441" s="235"/>
      <c r="I441" s="266">
        <v>3110</v>
      </c>
      <c r="J441" s="76">
        <v>290000</v>
      </c>
      <c r="K441" s="147"/>
      <c r="L441" s="147"/>
      <c r="M441" s="147"/>
      <c r="N441" s="147"/>
      <c r="O441" s="147"/>
      <c r="P441" s="147"/>
      <c r="Q441" s="147"/>
      <c r="R441" s="147">
        <v>290000</v>
      </c>
      <c r="S441" s="147"/>
      <c r="T441" s="147"/>
      <c r="U441" s="147"/>
      <c r="V441" s="147"/>
      <c r="W441" s="147"/>
      <c r="X441" s="221">
        <f t="shared" si="49"/>
        <v>290000</v>
      </c>
    </row>
    <row r="442" spans="2:24" ht="94.5">
      <c r="B442" s="313"/>
      <c r="C442" s="331"/>
      <c r="D442" s="308"/>
      <c r="E442" s="94" t="s">
        <v>409</v>
      </c>
      <c r="F442" s="76"/>
      <c r="G442" s="99"/>
      <c r="H442" s="235"/>
      <c r="I442" s="266">
        <v>3110</v>
      </c>
      <c r="J442" s="76">
        <v>29000</v>
      </c>
      <c r="K442" s="147"/>
      <c r="L442" s="147"/>
      <c r="M442" s="147"/>
      <c r="N442" s="147"/>
      <c r="O442" s="147"/>
      <c r="P442" s="147"/>
      <c r="Q442" s="147"/>
      <c r="R442" s="147">
        <v>29000</v>
      </c>
      <c r="S442" s="147"/>
      <c r="T442" s="147"/>
      <c r="U442" s="147"/>
      <c r="V442" s="147"/>
      <c r="W442" s="147"/>
      <c r="X442" s="221">
        <f t="shared" si="49"/>
        <v>29000</v>
      </c>
    </row>
    <row r="443" spans="2:24" ht="47.25">
      <c r="B443" s="313"/>
      <c r="C443" s="331"/>
      <c r="D443" s="308"/>
      <c r="E443" s="94" t="s">
        <v>410</v>
      </c>
      <c r="F443" s="76"/>
      <c r="G443" s="99"/>
      <c r="H443" s="235"/>
      <c r="I443" s="266">
        <v>3110</v>
      </c>
      <c r="J443" s="76">
        <v>45000</v>
      </c>
      <c r="K443" s="147"/>
      <c r="L443" s="147"/>
      <c r="M443" s="147"/>
      <c r="N443" s="147"/>
      <c r="O443" s="147">
        <v>45000</v>
      </c>
      <c r="P443" s="147"/>
      <c r="Q443" s="147"/>
      <c r="R443" s="147"/>
      <c r="S443" s="147"/>
      <c r="T443" s="147"/>
      <c r="U443" s="147"/>
      <c r="V443" s="147"/>
      <c r="W443" s="147">
        <f>25100+19900</f>
        <v>45000</v>
      </c>
      <c r="X443" s="221">
        <f t="shared" si="49"/>
        <v>0</v>
      </c>
    </row>
    <row r="444" spans="2:24" ht="47.25">
      <c r="B444" s="312"/>
      <c r="C444" s="330"/>
      <c r="D444" s="310"/>
      <c r="E444" s="94" t="s">
        <v>411</v>
      </c>
      <c r="F444" s="76"/>
      <c r="G444" s="99"/>
      <c r="H444" s="235"/>
      <c r="I444" s="266">
        <v>3110</v>
      </c>
      <c r="J444" s="76">
        <v>40500</v>
      </c>
      <c r="K444" s="147"/>
      <c r="L444" s="147"/>
      <c r="M444" s="147"/>
      <c r="N444" s="147"/>
      <c r="O444" s="147">
        <v>40500</v>
      </c>
      <c r="P444" s="147"/>
      <c r="Q444" s="147"/>
      <c r="R444" s="147"/>
      <c r="S444" s="147"/>
      <c r="T444" s="147"/>
      <c r="U444" s="147"/>
      <c r="V444" s="147"/>
      <c r="W444" s="147">
        <v>40500</v>
      </c>
      <c r="X444" s="221">
        <f t="shared" si="49"/>
        <v>0</v>
      </c>
    </row>
    <row r="445" spans="2:24" ht="15.75">
      <c r="B445" s="311" t="s">
        <v>84</v>
      </c>
      <c r="C445" s="311" t="s">
        <v>345</v>
      </c>
      <c r="D445" s="307" t="s">
        <v>83</v>
      </c>
      <c r="E445" s="94"/>
      <c r="F445" s="76"/>
      <c r="G445" s="99"/>
      <c r="H445" s="235"/>
      <c r="I445" s="266"/>
      <c r="J445" s="222">
        <f>J446</f>
        <v>248250</v>
      </c>
      <c r="K445" s="222">
        <f aca="true" t="shared" si="56" ref="K445:W445">K446</f>
        <v>0</v>
      </c>
      <c r="L445" s="222">
        <f t="shared" si="56"/>
        <v>0</v>
      </c>
      <c r="M445" s="222">
        <f t="shared" si="56"/>
        <v>0</v>
      </c>
      <c r="N445" s="222">
        <f t="shared" si="56"/>
        <v>4000</v>
      </c>
      <c r="O445" s="222">
        <f t="shared" si="56"/>
        <v>50000</v>
      </c>
      <c r="P445" s="222">
        <f t="shared" si="56"/>
        <v>50000</v>
      </c>
      <c r="Q445" s="222">
        <f t="shared" si="56"/>
        <v>50000</v>
      </c>
      <c r="R445" s="222">
        <f t="shared" si="56"/>
        <v>50000</v>
      </c>
      <c r="S445" s="222">
        <f t="shared" si="56"/>
        <v>44250</v>
      </c>
      <c r="T445" s="222">
        <f t="shared" si="56"/>
        <v>0</v>
      </c>
      <c r="U445" s="222">
        <f t="shared" si="56"/>
        <v>0</v>
      </c>
      <c r="V445" s="222">
        <f t="shared" si="56"/>
        <v>0</v>
      </c>
      <c r="W445" s="222">
        <f t="shared" si="56"/>
        <v>53874</v>
      </c>
      <c r="X445" s="221">
        <f t="shared" si="49"/>
        <v>150126</v>
      </c>
    </row>
    <row r="446" spans="2:24" ht="78.75">
      <c r="B446" s="312"/>
      <c r="C446" s="312"/>
      <c r="D446" s="310"/>
      <c r="E446" s="145" t="s">
        <v>464</v>
      </c>
      <c r="F446" s="76"/>
      <c r="G446" s="99"/>
      <c r="H446" s="235"/>
      <c r="I446" s="266">
        <v>3240</v>
      </c>
      <c r="J446" s="76">
        <v>248250</v>
      </c>
      <c r="K446" s="147"/>
      <c r="L446" s="147"/>
      <c r="M446" s="147"/>
      <c r="N446" s="76">
        <v>4000</v>
      </c>
      <c r="O446" s="76">
        <v>50000</v>
      </c>
      <c r="P446" s="76">
        <v>50000</v>
      </c>
      <c r="Q446" s="76">
        <v>50000</v>
      </c>
      <c r="R446" s="76">
        <v>50000</v>
      </c>
      <c r="S446" s="76">
        <v>44250</v>
      </c>
      <c r="T446" s="147"/>
      <c r="U446" s="147"/>
      <c r="V446" s="147"/>
      <c r="W446" s="147">
        <f>1188+1188+22646.7+28851.3</f>
        <v>53874</v>
      </c>
      <c r="X446" s="221">
        <f t="shared" si="49"/>
        <v>150126</v>
      </c>
    </row>
    <row r="447" spans="2:24" ht="15.75">
      <c r="B447" s="303" t="s">
        <v>833</v>
      </c>
      <c r="C447" s="303" t="s">
        <v>386</v>
      </c>
      <c r="D447" s="307" t="s">
        <v>387</v>
      </c>
      <c r="E447" s="94"/>
      <c r="F447" s="76"/>
      <c r="G447" s="99"/>
      <c r="H447" s="235"/>
      <c r="I447" s="266"/>
      <c r="J447" s="222">
        <f>SUM(J448:J454)</f>
        <v>1009183.4</v>
      </c>
      <c r="K447" s="222">
        <f aca="true" t="shared" si="57" ref="K447:W447">SUM(K448:K454)</f>
        <v>0</v>
      </c>
      <c r="L447" s="222">
        <f t="shared" si="57"/>
        <v>85683.4</v>
      </c>
      <c r="M447" s="222">
        <f t="shared" si="57"/>
        <v>0</v>
      </c>
      <c r="N447" s="222">
        <f t="shared" si="57"/>
        <v>0</v>
      </c>
      <c r="O447" s="222">
        <f t="shared" si="57"/>
        <v>48300</v>
      </c>
      <c r="P447" s="222">
        <f t="shared" si="57"/>
        <v>300000</v>
      </c>
      <c r="Q447" s="222">
        <f t="shared" si="57"/>
        <v>300000</v>
      </c>
      <c r="R447" s="222">
        <f t="shared" si="57"/>
        <v>250000</v>
      </c>
      <c r="S447" s="222">
        <f t="shared" si="57"/>
        <v>25200</v>
      </c>
      <c r="T447" s="222">
        <f t="shared" si="57"/>
        <v>0</v>
      </c>
      <c r="U447" s="222">
        <f t="shared" si="57"/>
        <v>0</v>
      </c>
      <c r="V447" s="222">
        <f t="shared" si="57"/>
        <v>0</v>
      </c>
      <c r="W447" s="222">
        <f t="shared" si="57"/>
        <v>387643.5</v>
      </c>
      <c r="X447" s="221">
        <f t="shared" si="49"/>
        <v>596339.9</v>
      </c>
    </row>
    <row r="448" spans="2:24" ht="94.5">
      <c r="B448" s="304"/>
      <c r="C448" s="304"/>
      <c r="D448" s="308"/>
      <c r="E448" s="27" t="s">
        <v>388</v>
      </c>
      <c r="F448" s="76"/>
      <c r="G448" s="99"/>
      <c r="H448" s="235"/>
      <c r="I448" s="266">
        <v>3132</v>
      </c>
      <c r="J448" s="9">
        <v>72883.4</v>
      </c>
      <c r="K448" s="147"/>
      <c r="L448" s="9">
        <v>72883.4</v>
      </c>
      <c r="M448" s="147"/>
      <c r="N448" s="147"/>
      <c r="O448" s="147"/>
      <c r="P448" s="147"/>
      <c r="Q448" s="147"/>
      <c r="R448" s="147"/>
      <c r="S448" s="147"/>
      <c r="T448" s="147"/>
      <c r="U448" s="147"/>
      <c r="V448" s="147"/>
      <c r="W448" s="147">
        <v>72883.4</v>
      </c>
      <c r="X448" s="221">
        <f t="shared" si="49"/>
        <v>0</v>
      </c>
    </row>
    <row r="449" spans="2:24" ht="110.25">
      <c r="B449" s="304"/>
      <c r="C449" s="304"/>
      <c r="D449" s="308"/>
      <c r="E449" s="27" t="s">
        <v>796</v>
      </c>
      <c r="F449" s="76"/>
      <c r="G449" s="99"/>
      <c r="H449" s="235"/>
      <c r="I449" s="266">
        <v>3110</v>
      </c>
      <c r="J449" s="9">
        <v>2800</v>
      </c>
      <c r="K449" s="147"/>
      <c r="L449" s="147"/>
      <c r="M449" s="147"/>
      <c r="N449" s="147"/>
      <c r="O449" s="147">
        <v>2800</v>
      </c>
      <c r="P449" s="147"/>
      <c r="Q449" s="147"/>
      <c r="R449" s="147"/>
      <c r="S449" s="147"/>
      <c r="T449" s="147"/>
      <c r="U449" s="147"/>
      <c r="V449" s="147"/>
      <c r="W449" s="147">
        <v>2795</v>
      </c>
      <c r="X449" s="221">
        <f t="shared" si="49"/>
        <v>5</v>
      </c>
    </row>
    <row r="450" spans="2:24" ht="94.5">
      <c r="B450" s="304"/>
      <c r="C450" s="304"/>
      <c r="D450" s="308"/>
      <c r="E450" s="27" t="s">
        <v>536</v>
      </c>
      <c r="F450" s="76"/>
      <c r="G450" s="99"/>
      <c r="H450" s="235"/>
      <c r="I450" s="266">
        <v>3110</v>
      </c>
      <c r="J450" s="9">
        <v>26000</v>
      </c>
      <c r="K450" s="147"/>
      <c r="L450" s="147"/>
      <c r="M450" s="147"/>
      <c r="N450" s="147"/>
      <c r="O450" s="147">
        <v>26000</v>
      </c>
      <c r="P450" s="147"/>
      <c r="Q450" s="147"/>
      <c r="R450" s="147"/>
      <c r="S450" s="147"/>
      <c r="T450" s="147"/>
      <c r="U450" s="147"/>
      <c r="V450" s="147"/>
      <c r="W450" s="147">
        <v>26000</v>
      </c>
      <c r="X450" s="221">
        <f t="shared" si="49"/>
        <v>0</v>
      </c>
    </row>
    <row r="451" spans="2:24" ht="78.75">
      <c r="B451" s="304"/>
      <c r="C451" s="304"/>
      <c r="D451" s="308"/>
      <c r="E451" s="27" t="s">
        <v>122</v>
      </c>
      <c r="F451" s="76"/>
      <c r="G451" s="99"/>
      <c r="H451" s="235"/>
      <c r="I451" s="266">
        <v>3110</v>
      </c>
      <c r="J451" s="9">
        <v>19500</v>
      </c>
      <c r="K451" s="147"/>
      <c r="L451" s="147"/>
      <c r="M451" s="147"/>
      <c r="N451" s="147"/>
      <c r="O451" s="147">
        <v>19500</v>
      </c>
      <c r="P451" s="147"/>
      <c r="Q451" s="147"/>
      <c r="R451" s="147"/>
      <c r="S451" s="147"/>
      <c r="T451" s="147"/>
      <c r="U451" s="147"/>
      <c r="V451" s="147"/>
      <c r="W451" s="147">
        <v>17191</v>
      </c>
      <c r="X451" s="221">
        <f t="shared" si="49"/>
        <v>2309</v>
      </c>
    </row>
    <row r="452" spans="2:24" ht="126">
      <c r="B452" s="304"/>
      <c r="C452" s="304"/>
      <c r="D452" s="308"/>
      <c r="E452" s="27" t="s">
        <v>574</v>
      </c>
      <c r="F452" s="76"/>
      <c r="G452" s="99"/>
      <c r="H452" s="235"/>
      <c r="I452" s="266">
        <v>3132</v>
      </c>
      <c r="J452" s="9">
        <v>850000</v>
      </c>
      <c r="K452" s="147"/>
      <c r="L452" s="147"/>
      <c r="M452" s="147"/>
      <c r="N452" s="147"/>
      <c r="O452" s="147"/>
      <c r="P452" s="147">
        <v>300000</v>
      </c>
      <c r="Q452" s="147">
        <v>300000</v>
      </c>
      <c r="R452" s="147">
        <v>250000</v>
      </c>
      <c r="S452" s="147"/>
      <c r="T452" s="147"/>
      <c r="U452" s="147"/>
      <c r="V452" s="147"/>
      <c r="W452" s="147">
        <f>1406.4+254567.7</f>
        <v>255974.1</v>
      </c>
      <c r="X452" s="221">
        <f t="shared" si="49"/>
        <v>594025.9</v>
      </c>
    </row>
    <row r="453" spans="2:24" ht="63">
      <c r="B453" s="304"/>
      <c r="C453" s="304"/>
      <c r="D453" s="308"/>
      <c r="E453" s="27" t="s">
        <v>575</v>
      </c>
      <c r="F453" s="76"/>
      <c r="G453" s="99"/>
      <c r="H453" s="235"/>
      <c r="I453" s="266">
        <v>3110</v>
      </c>
      <c r="J453" s="9">
        <v>25200</v>
      </c>
      <c r="K453" s="147"/>
      <c r="L453" s="147"/>
      <c r="M453" s="147"/>
      <c r="N453" s="147"/>
      <c r="O453" s="147"/>
      <c r="P453" s="147"/>
      <c r="Q453" s="147"/>
      <c r="R453" s="147"/>
      <c r="S453" s="147">
        <v>25200</v>
      </c>
      <c r="T453" s="147"/>
      <c r="U453" s="147"/>
      <c r="V453" s="147"/>
      <c r="W453" s="147"/>
      <c r="X453" s="221">
        <f t="shared" si="49"/>
        <v>0</v>
      </c>
    </row>
    <row r="454" spans="2:24" ht="110.25">
      <c r="B454" s="306"/>
      <c r="C454" s="306"/>
      <c r="D454" s="310"/>
      <c r="E454" s="27" t="s">
        <v>389</v>
      </c>
      <c r="F454" s="76"/>
      <c r="G454" s="99"/>
      <c r="H454" s="235"/>
      <c r="I454" s="266">
        <v>3110</v>
      </c>
      <c r="J454" s="9">
        <v>12800</v>
      </c>
      <c r="K454" s="147"/>
      <c r="L454" s="9">
        <v>12800</v>
      </c>
      <c r="M454" s="147"/>
      <c r="N454" s="147"/>
      <c r="O454" s="147"/>
      <c r="P454" s="147"/>
      <c r="Q454" s="147"/>
      <c r="R454" s="147"/>
      <c r="S454" s="147"/>
      <c r="T454" s="147"/>
      <c r="U454" s="147"/>
      <c r="V454" s="147"/>
      <c r="W454" s="147">
        <v>12800</v>
      </c>
      <c r="X454" s="221">
        <f t="shared" si="49"/>
        <v>0</v>
      </c>
    </row>
    <row r="455" spans="2:24" ht="15.75">
      <c r="B455" s="204"/>
      <c r="C455" s="205"/>
      <c r="D455" s="319" t="s">
        <v>546</v>
      </c>
      <c r="E455" s="320"/>
      <c r="F455" s="100"/>
      <c r="G455" s="101"/>
      <c r="H455" s="234"/>
      <c r="I455" s="265"/>
      <c r="J455" s="43">
        <f aca="true" t="shared" si="58" ref="J455:W455">J458+J477+J498+J570+J573+J576+J474+J522+J568+J495+J456</f>
        <v>87599038.39000002</v>
      </c>
      <c r="K455" s="43">
        <f t="shared" si="58"/>
        <v>0</v>
      </c>
      <c r="L455" s="43">
        <f t="shared" si="58"/>
        <v>3308538.190000001</v>
      </c>
      <c r="M455" s="43">
        <f t="shared" si="58"/>
        <v>599979.68</v>
      </c>
      <c r="N455" s="43">
        <f t="shared" si="58"/>
        <v>0</v>
      </c>
      <c r="O455" s="43">
        <f t="shared" si="58"/>
        <v>8086764.55</v>
      </c>
      <c r="P455" s="43">
        <f t="shared" si="58"/>
        <v>8476236.21</v>
      </c>
      <c r="Q455" s="43">
        <f t="shared" si="58"/>
        <v>9232216.84</v>
      </c>
      <c r="R455" s="43">
        <f t="shared" si="58"/>
        <v>25513595.56</v>
      </c>
      <c r="S455" s="43">
        <f t="shared" si="58"/>
        <v>23047366.7</v>
      </c>
      <c r="T455" s="43">
        <f t="shared" si="58"/>
        <v>3308706.46</v>
      </c>
      <c r="U455" s="43">
        <f t="shared" si="58"/>
        <v>2800987.2</v>
      </c>
      <c r="V455" s="43">
        <f t="shared" si="58"/>
        <v>3224647</v>
      </c>
      <c r="W455" s="43">
        <f t="shared" si="58"/>
        <v>10420705.83</v>
      </c>
      <c r="X455" s="221">
        <f t="shared" si="49"/>
        <v>44796625.2</v>
      </c>
    </row>
    <row r="456" spans="2:24" ht="15.75">
      <c r="B456" s="329" t="s">
        <v>348</v>
      </c>
      <c r="C456" s="329" t="s">
        <v>346</v>
      </c>
      <c r="D456" s="307" t="s">
        <v>798</v>
      </c>
      <c r="E456" s="94"/>
      <c r="F456" s="76"/>
      <c r="G456" s="99"/>
      <c r="H456" s="235"/>
      <c r="I456" s="266"/>
      <c r="J456" s="222">
        <f>J457</f>
        <v>33000</v>
      </c>
      <c r="K456" s="222">
        <f aca="true" t="shared" si="59" ref="K456:W456">K457</f>
        <v>0</v>
      </c>
      <c r="L456" s="222">
        <f t="shared" si="59"/>
        <v>0</v>
      </c>
      <c r="M456" s="222">
        <f t="shared" si="59"/>
        <v>0</v>
      </c>
      <c r="N456" s="222">
        <f t="shared" si="59"/>
        <v>0</v>
      </c>
      <c r="O456" s="222">
        <f t="shared" si="59"/>
        <v>33000</v>
      </c>
      <c r="P456" s="222">
        <f t="shared" si="59"/>
        <v>0</v>
      </c>
      <c r="Q456" s="222">
        <f t="shared" si="59"/>
        <v>0</v>
      </c>
      <c r="R456" s="222">
        <f t="shared" si="59"/>
        <v>0</v>
      </c>
      <c r="S456" s="222">
        <f t="shared" si="59"/>
        <v>0</v>
      </c>
      <c r="T456" s="222">
        <f t="shared" si="59"/>
        <v>0</v>
      </c>
      <c r="U456" s="222">
        <f t="shared" si="59"/>
        <v>0</v>
      </c>
      <c r="V456" s="222">
        <f t="shared" si="59"/>
        <v>0</v>
      </c>
      <c r="W456" s="222">
        <f t="shared" si="59"/>
        <v>32788</v>
      </c>
      <c r="X456" s="221">
        <f t="shared" si="49"/>
        <v>212</v>
      </c>
    </row>
    <row r="457" spans="2:24" ht="15.75">
      <c r="B457" s="330"/>
      <c r="C457" s="330"/>
      <c r="D457" s="310"/>
      <c r="E457" s="103" t="s">
        <v>576</v>
      </c>
      <c r="F457" s="104"/>
      <c r="G457" s="104"/>
      <c r="H457" s="237"/>
      <c r="I457" s="261">
        <v>3110</v>
      </c>
      <c r="J457" s="21">
        <v>33000</v>
      </c>
      <c r="K457" s="147"/>
      <c r="L457" s="147"/>
      <c r="M457" s="147"/>
      <c r="N457" s="147"/>
      <c r="O457" s="147">
        <v>33000</v>
      </c>
      <c r="P457" s="147"/>
      <c r="Q457" s="147"/>
      <c r="R457" s="147"/>
      <c r="S457" s="147"/>
      <c r="T457" s="147"/>
      <c r="U457" s="147"/>
      <c r="V457" s="147"/>
      <c r="W457" s="147">
        <v>32788</v>
      </c>
      <c r="X457" s="221">
        <f t="shared" si="49"/>
        <v>212</v>
      </c>
    </row>
    <row r="458" spans="2:24" ht="15.75">
      <c r="B458" s="303" t="s">
        <v>455</v>
      </c>
      <c r="C458" s="303" t="s">
        <v>255</v>
      </c>
      <c r="D458" s="307" t="s">
        <v>256</v>
      </c>
      <c r="E458" s="94"/>
      <c r="F458" s="76"/>
      <c r="G458" s="99"/>
      <c r="H458" s="235"/>
      <c r="I458" s="266"/>
      <c r="J458" s="222">
        <f>SUM(J459:J473)</f>
        <v>12268274.52</v>
      </c>
      <c r="K458" s="222">
        <f aca="true" t="shared" si="60" ref="K458:W458">SUM(K459:K473)</f>
        <v>0</v>
      </c>
      <c r="L458" s="222">
        <f t="shared" si="60"/>
        <v>1210094.84</v>
      </c>
      <c r="M458" s="222">
        <f t="shared" si="60"/>
        <v>549979.68</v>
      </c>
      <c r="N458" s="222">
        <f t="shared" si="60"/>
        <v>0</v>
      </c>
      <c r="O458" s="222">
        <f t="shared" si="60"/>
        <v>2072682.39</v>
      </c>
      <c r="P458" s="222">
        <f t="shared" si="60"/>
        <v>1830992.5</v>
      </c>
      <c r="Q458" s="222">
        <f t="shared" si="60"/>
        <v>1347416.84</v>
      </c>
      <c r="R458" s="222">
        <f t="shared" si="60"/>
        <v>1480533.75</v>
      </c>
      <c r="S458" s="222">
        <f t="shared" si="60"/>
        <v>1074578.75</v>
      </c>
      <c r="T458" s="222">
        <f t="shared" si="60"/>
        <v>1013174.25</v>
      </c>
      <c r="U458" s="222">
        <f t="shared" si="60"/>
        <v>706349.52</v>
      </c>
      <c r="V458" s="222">
        <f t="shared" si="60"/>
        <v>982472</v>
      </c>
      <c r="W458" s="222">
        <f t="shared" si="60"/>
        <v>4331327.850000001</v>
      </c>
      <c r="X458" s="221">
        <f t="shared" si="49"/>
        <v>4160372.1499999994</v>
      </c>
    </row>
    <row r="459" spans="2:24" ht="63">
      <c r="B459" s="304"/>
      <c r="C459" s="304"/>
      <c r="D459" s="308"/>
      <c r="E459" s="19" t="s">
        <v>258</v>
      </c>
      <c r="F459" s="76"/>
      <c r="G459" s="99"/>
      <c r="H459" s="235"/>
      <c r="I459" s="266">
        <v>3131</v>
      </c>
      <c r="J459" s="9">
        <v>101257.81</v>
      </c>
      <c r="K459" s="147"/>
      <c r="L459" s="9">
        <v>101257.81</v>
      </c>
      <c r="M459" s="147"/>
      <c r="N459" s="147"/>
      <c r="O459" s="147"/>
      <c r="P459" s="147"/>
      <c r="Q459" s="147"/>
      <c r="R459" s="147"/>
      <c r="S459" s="147"/>
      <c r="T459" s="147"/>
      <c r="U459" s="147"/>
      <c r="V459" s="147"/>
      <c r="W459" s="9">
        <v>101257.81</v>
      </c>
      <c r="X459" s="221">
        <f t="shared" si="49"/>
        <v>0</v>
      </c>
    </row>
    <row r="460" spans="2:24" ht="110.25">
      <c r="B460" s="304"/>
      <c r="C460" s="304"/>
      <c r="D460" s="308"/>
      <c r="E460" s="19" t="s">
        <v>532</v>
      </c>
      <c r="F460" s="76"/>
      <c r="G460" s="99"/>
      <c r="H460" s="235"/>
      <c r="I460" s="266">
        <v>3131</v>
      </c>
      <c r="J460" s="9">
        <v>8294.87</v>
      </c>
      <c r="K460" s="147"/>
      <c r="L460" s="9">
        <v>8294.87</v>
      </c>
      <c r="M460" s="147"/>
      <c r="N460" s="147"/>
      <c r="O460" s="147"/>
      <c r="P460" s="147"/>
      <c r="Q460" s="147"/>
      <c r="R460" s="147"/>
      <c r="S460" s="147"/>
      <c r="T460" s="147"/>
      <c r="U460" s="147"/>
      <c r="V460" s="147"/>
      <c r="W460" s="9">
        <v>8294.87</v>
      </c>
      <c r="X460" s="221">
        <f t="shared" si="49"/>
        <v>0</v>
      </c>
    </row>
    <row r="461" spans="2:24" ht="78.75">
      <c r="B461" s="304"/>
      <c r="C461" s="304"/>
      <c r="D461" s="308"/>
      <c r="E461" s="28" t="s">
        <v>543</v>
      </c>
      <c r="F461" s="76"/>
      <c r="G461" s="99"/>
      <c r="H461" s="235"/>
      <c r="I461" s="266">
        <v>3131</v>
      </c>
      <c r="J461" s="9">
        <v>33519.58</v>
      </c>
      <c r="K461" s="147"/>
      <c r="L461" s="9">
        <v>33519.58</v>
      </c>
      <c r="M461" s="147"/>
      <c r="N461" s="147"/>
      <c r="O461" s="147"/>
      <c r="P461" s="147"/>
      <c r="Q461" s="147"/>
      <c r="R461" s="147"/>
      <c r="S461" s="147"/>
      <c r="T461" s="147"/>
      <c r="U461" s="147"/>
      <c r="V461" s="147"/>
      <c r="W461" s="9">
        <v>33519.58</v>
      </c>
      <c r="X461" s="221">
        <f t="shared" si="49"/>
        <v>0</v>
      </c>
    </row>
    <row r="462" spans="2:24" ht="78.75">
      <c r="B462" s="304"/>
      <c r="C462" s="304"/>
      <c r="D462" s="308"/>
      <c r="E462" s="28" t="s">
        <v>463</v>
      </c>
      <c r="F462" s="76"/>
      <c r="G462" s="99"/>
      <c r="H462" s="235"/>
      <c r="I462" s="266">
        <v>3131</v>
      </c>
      <c r="J462" s="9">
        <v>472572.32</v>
      </c>
      <c r="K462" s="147"/>
      <c r="L462" s="9">
        <v>472572.32</v>
      </c>
      <c r="M462" s="147"/>
      <c r="N462" s="147"/>
      <c r="O462" s="147"/>
      <c r="P462" s="147"/>
      <c r="Q462" s="147"/>
      <c r="R462" s="147"/>
      <c r="S462" s="147"/>
      <c r="T462" s="147"/>
      <c r="U462" s="147"/>
      <c r="V462" s="147"/>
      <c r="W462" s="9">
        <v>472572.32</v>
      </c>
      <c r="X462" s="221">
        <f t="shared" si="49"/>
        <v>0</v>
      </c>
    </row>
    <row r="463" spans="2:24" ht="63">
      <c r="B463" s="304"/>
      <c r="C463" s="304"/>
      <c r="D463" s="308"/>
      <c r="E463" s="28" t="s">
        <v>544</v>
      </c>
      <c r="F463" s="76"/>
      <c r="G463" s="99"/>
      <c r="H463" s="235"/>
      <c r="I463" s="266">
        <v>3131</v>
      </c>
      <c r="J463" s="9">
        <v>18298.8</v>
      </c>
      <c r="K463" s="147"/>
      <c r="L463" s="9">
        <v>18298.8</v>
      </c>
      <c r="M463" s="147"/>
      <c r="N463" s="147"/>
      <c r="O463" s="147"/>
      <c r="P463" s="147"/>
      <c r="Q463" s="147"/>
      <c r="R463" s="147"/>
      <c r="S463" s="147"/>
      <c r="T463" s="147"/>
      <c r="U463" s="147"/>
      <c r="V463" s="147"/>
      <c r="W463" s="9">
        <v>18298.8</v>
      </c>
      <c r="X463" s="221">
        <f t="shared" si="49"/>
        <v>0</v>
      </c>
    </row>
    <row r="464" spans="2:24" ht="47.25">
      <c r="B464" s="304"/>
      <c r="C464" s="304"/>
      <c r="D464" s="308"/>
      <c r="E464" s="28" t="s">
        <v>70</v>
      </c>
      <c r="F464" s="76"/>
      <c r="G464" s="99"/>
      <c r="H464" s="235"/>
      <c r="I464" s="266">
        <v>3131</v>
      </c>
      <c r="J464" s="9">
        <v>52159.6</v>
      </c>
      <c r="K464" s="147"/>
      <c r="L464" s="9">
        <v>52159.6</v>
      </c>
      <c r="M464" s="147"/>
      <c r="N464" s="147"/>
      <c r="O464" s="147"/>
      <c r="P464" s="147"/>
      <c r="Q464" s="147"/>
      <c r="R464" s="147"/>
      <c r="S464" s="147"/>
      <c r="T464" s="147"/>
      <c r="U464" s="147"/>
      <c r="V464" s="147"/>
      <c r="W464" s="9">
        <v>52159.6</v>
      </c>
      <c r="X464" s="221">
        <f t="shared" si="49"/>
        <v>0</v>
      </c>
    </row>
    <row r="465" spans="2:24" ht="47.25">
      <c r="B465" s="304"/>
      <c r="C465" s="304"/>
      <c r="D465" s="308"/>
      <c r="E465" s="28" t="s">
        <v>71</v>
      </c>
      <c r="F465" s="76"/>
      <c r="G465" s="99"/>
      <c r="H465" s="235"/>
      <c r="I465" s="266">
        <v>3131</v>
      </c>
      <c r="J465" s="9">
        <v>84337.58</v>
      </c>
      <c r="K465" s="147"/>
      <c r="L465" s="9">
        <v>84337.58</v>
      </c>
      <c r="M465" s="147"/>
      <c r="N465" s="147"/>
      <c r="O465" s="147"/>
      <c r="P465" s="147"/>
      <c r="Q465" s="147"/>
      <c r="R465" s="147"/>
      <c r="S465" s="147"/>
      <c r="T465" s="147"/>
      <c r="U465" s="147"/>
      <c r="V465" s="147"/>
      <c r="W465" s="9">
        <v>84337.58</v>
      </c>
      <c r="X465" s="221">
        <f t="shared" si="49"/>
        <v>0</v>
      </c>
    </row>
    <row r="466" spans="2:24" ht="63">
      <c r="B466" s="304"/>
      <c r="C466" s="304"/>
      <c r="D466" s="308"/>
      <c r="E466" s="28" t="s">
        <v>72</v>
      </c>
      <c r="F466" s="76"/>
      <c r="G466" s="99"/>
      <c r="H466" s="235"/>
      <c r="I466" s="266">
        <v>3131</v>
      </c>
      <c r="J466" s="9">
        <v>59704.2</v>
      </c>
      <c r="K466" s="147"/>
      <c r="L466" s="9">
        <v>59704.2</v>
      </c>
      <c r="M466" s="147"/>
      <c r="N466" s="147"/>
      <c r="O466" s="147"/>
      <c r="P466" s="147"/>
      <c r="Q466" s="147"/>
      <c r="R466" s="147"/>
      <c r="S466" s="147"/>
      <c r="T466" s="147"/>
      <c r="U466" s="147"/>
      <c r="V466" s="147"/>
      <c r="W466" s="9">
        <v>59704.2</v>
      </c>
      <c r="X466" s="221">
        <f t="shared" si="49"/>
        <v>0</v>
      </c>
    </row>
    <row r="467" spans="2:24" ht="47.25">
      <c r="B467" s="304"/>
      <c r="C467" s="304"/>
      <c r="D467" s="308"/>
      <c r="E467" s="28" t="s">
        <v>733</v>
      </c>
      <c r="F467" s="76"/>
      <c r="G467" s="99"/>
      <c r="H467" s="235"/>
      <c r="I467" s="266">
        <v>3131</v>
      </c>
      <c r="J467" s="9">
        <v>199207.81</v>
      </c>
      <c r="K467" s="147"/>
      <c r="L467" s="9">
        <v>199207.81</v>
      </c>
      <c r="M467" s="147"/>
      <c r="N467" s="147"/>
      <c r="O467" s="147"/>
      <c r="P467" s="147"/>
      <c r="Q467" s="147"/>
      <c r="R467" s="147"/>
      <c r="S467" s="147"/>
      <c r="T467" s="147"/>
      <c r="U467" s="147"/>
      <c r="V467" s="147"/>
      <c r="W467" s="9">
        <v>199207.81</v>
      </c>
      <c r="X467" s="221">
        <f t="shared" si="49"/>
        <v>0</v>
      </c>
    </row>
    <row r="468" spans="2:24" ht="47.25">
      <c r="B468" s="304"/>
      <c r="C468" s="304"/>
      <c r="D468" s="308"/>
      <c r="E468" s="28" t="s">
        <v>89</v>
      </c>
      <c r="F468" s="76"/>
      <c r="G468" s="99"/>
      <c r="H468" s="235"/>
      <c r="I468" s="266">
        <v>3131</v>
      </c>
      <c r="J468" s="9">
        <v>180742.27</v>
      </c>
      <c r="K468" s="147"/>
      <c r="L468" s="9">
        <v>180742.27</v>
      </c>
      <c r="M468" s="147"/>
      <c r="N468" s="147"/>
      <c r="O468" s="147"/>
      <c r="P468" s="147"/>
      <c r="Q468" s="147"/>
      <c r="R468" s="147"/>
      <c r="S468" s="147"/>
      <c r="T468" s="147"/>
      <c r="U468" s="147"/>
      <c r="V468" s="147"/>
      <c r="W468" s="9">
        <v>180742.27</v>
      </c>
      <c r="X468" s="221">
        <f t="shared" si="49"/>
        <v>0</v>
      </c>
    </row>
    <row r="469" spans="2:24" ht="157.5">
      <c r="B469" s="304"/>
      <c r="C469" s="304"/>
      <c r="D469" s="308"/>
      <c r="E469" s="105" t="s">
        <v>596</v>
      </c>
      <c r="F469" s="76"/>
      <c r="G469" s="99"/>
      <c r="H469" s="235"/>
      <c r="I469" s="266">
        <v>3131</v>
      </c>
      <c r="J469" s="9">
        <v>10164200</v>
      </c>
      <c r="K469" s="147"/>
      <c r="L469" s="147"/>
      <c r="M469" s="147"/>
      <c r="N469" s="147"/>
      <c r="O469" s="147">
        <v>2022682.39</v>
      </c>
      <c r="P469" s="147">
        <v>1750992.5</v>
      </c>
      <c r="Q469" s="147">
        <v>1317416.84</v>
      </c>
      <c r="R469" s="147">
        <v>1296533.75</v>
      </c>
      <c r="S469" s="147">
        <v>1074578.75</v>
      </c>
      <c r="T469" s="147">
        <v>1013174.25</v>
      </c>
      <c r="U469" s="147">
        <v>706349.52</v>
      </c>
      <c r="V469" s="147">
        <v>982472</v>
      </c>
      <c r="W469" s="147">
        <f>98532+75072+7774.8+20214+6333.6+426782.42+6478+903421.49+11470.8+153872.01+12488+796503.81+18852</f>
        <v>2537794.93</v>
      </c>
      <c r="X469" s="221">
        <f aca="true" t="shared" si="61" ref="X469:X533">K469+L469+M469+N469+O469+P469+Q469+R469-W469</f>
        <v>3849830.5499999993</v>
      </c>
    </row>
    <row r="470" spans="2:24" ht="78.75">
      <c r="B470" s="304"/>
      <c r="C470" s="304"/>
      <c r="D470" s="308"/>
      <c r="E470" s="10" t="s">
        <v>185</v>
      </c>
      <c r="F470" s="106"/>
      <c r="G470" s="106"/>
      <c r="H470" s="238"/>
      <c r="I470" s="266">
        <v>3131</v>
      </c>
      <c r="J470" s="49">
        <v>549979.68</v>
      </c>
      <c r="K470" s="147"/>
      <c r="L470" s="147"/>
      <c r="M470" s="147">
        <v>549979.68</v>
      </c>
      <c r="N470" s="147"/>
      <c r="O470" s="147"/>
      <c r="P470" s="147"/>
      <c r="Q470" s="147"/>
      <c r="R470" s="147"/>
      <c r="S470" s="147"/>
      <c r="T470" s="147"/>
      <c r="U470" s="147"/>
      <c r="V470" s="147"/>
      <c r="W470" s="9">
        <v>549979.68</v>
      </c>
      <c r="X470" s="221">
        <f t="shared" si="61"/>
        <v>0</v>
      </c>
    </row>
    <row r="471" spans="2:24" ht="31.5">
      <c r="B471" s="304"/>
      <c r="C471" s="304"/>
      <c r="D471" s="308"/>
      <c r="E471" s="10" t="s">
        <v>186</v>
      </c>
      <c r="F471" s="106"/>
      <c r="G471" s="107"/>
      <c r="H471" s="239"/>
      <c r="I471" s="266">
        <v>3131</v>
      </c>
      <c r="J471" s="21">
        <v>130000</v>
      </c>
      <c r="K471" s="147"/>
      <c r="L471" s="147"/>
      <c r="M471" s="147"/>
      <c r="N471" s="147"/>
      <c r="O471" s="147">
        <v>50000</v>
      </c>
      <c r="P471" s="147">
        <v>80000</v>
      </c>
      <c r="Q471" s="147"/>
      <c r="R471" s="147"/>
      <c r="S471" s="147"/>
      <c r="T471" s="147"/>
      <c r="U471" s="147"/>
      <c r="V471" s="147"/>
      <c r="W471" s="147">
        <v>33458.4</v>
      </c>
      <c r="X471" s="221">
        <f t="shared" si="61"/>
        <v>96541.6</v>
      </c>
    </row>
    <row r="472" spans="2:24" ht="31.5">
      <c r="B472" s="304"/>
      <c r="C472" s="304"/>
      <c r="D472" s="308"/>
      <c r="E472" s="108" t="s">
        <v>268</v>
      </c>
      <c r="F472" s="106"/>
      <c r="G472" s="107"/>
      <c r="H472" s="239"/>
      <c r="I472" s="266">
        <v>3131</v>
      </c>
      <c r="J472" s="21">
        <v>184000</v>
      </c>
      <c r="K472" s="147"/>
      <c r="L472" s="147"/>
      <c r="M472" s="147"/>
      <c r="N472" s="147"/>
      <c r="O472" s="147"/>
      <c r="P472" s="147"/>
      <c r="Q472" s="147"/>
      <c r="R472" s="147">
        <v>184000</v>
      </c>
      <c r="S472" s="147"/>
      <c r="T472" s="147"/>
      <c r="U472" s="147"/>
      <c r="V472" s="147"/>
      <c r="W472" s="147"/>
      <c r="X472" s="221">
        <f t="shared" si="61"/>
        <v>184000</v>
      </c>
    </row>
    <row r="473" spans="2:24" ht="47.25">
      <c r="B473" s="304"/>
      <c r="C473" s="304"/>
      <c r="D473" s="308"/>
      <c r="E473" s="108" t="s">
        <v>187</v>
      </c>
      <c r="F473" s="106"/>
      <c r="G473" s="107"/>
      <c r="H473" s="239"/>
      <c r="I473" s="266">
        <v>3131</v>
      </c>
      <c r="J473" s="21">
        <v>30000</v>
      </c>
      <c r="K473" s="147"/>
      <c r="L473" s="147"/>
      <c r="M473" s="147"/>
      <c r="N473" s="147"/>
      <c r="O473" s="147"/>
      <c r="P473" s="147"/>
      <c r="Q473" s="147">
        <v>30000</v>
      </c>
      <c r="R473" s="147"/>
      <c r="S473" s="147"/>
      <c r="T473" s="147"/>
      <c r="U473" s="147"/>
      <c r="V473" s="147"/>
      <c r="W473" s="147"/>
      <c r="X473" s="221">
        <f t="shared" si="61"/>
        <v>30000</v>
      </c>
    </row>
    <row r="474" spans="2:24" ht="15.75">
      <c r="B474" s="311" t="s">
        <v>456</v>
      </c>
      <c r="C474" s="311" t="s">
        <v>255</v>
      </c>
      <c r="D474" s="318" t="s">
        <v>843</v>
      </c>
      <c r="E474" s="28"/>
      <c r="F474" s="76"/>
      <c r="G474" s="99"/>
      <c r="H474" s="235"/>
      <c r="I474" s="266"/>
      <c r="J474" s="220">
        <f>SUM(J475:J476)</f>
        <v>3069537.25</v>
      </c>
      <c r="K474" s="220">
        <f aca="true" t="shared" si="62" ref="K474:W474">SUM(K475:K476)</f>
        <v>0</v>
      </c>
      <c r="L474" s="220">
        <f t="shared" si="62"/>
        <v>0</v>
      </c>
      <c r="M474" s="220">
        <f t="shared" si="62"/>
        <v>0</v>
      </c>
      <c r="N474" s="220">
        <f t="shared" si="62"/>
        <v>0</v>
      </c>
      <c r="O474" s="220">
        <f t="shared" si="62"/>
        <v>1069537.25</v>
      </c>
      <c r="P474" s="220">
        <f t="shared" si="62"/>
        <v>500000</v>
      </c>
      <c r="Q474" s="220">
        <f t="shared" si="62"/>
        <v>500000</v>
      </c>
      <c r="R474" s="220">
        <f t="shared" si="62"/>
        <v>500000</v>
      </c>
      <c r="S474" s="220">
        <f t="shared" si="62"/>
        <v>500000</v>
      </c>
      <c r="T474" s="220">
        <f t="shared" si="62"/>
        <v>0</v>
      </c>
      <c r="U474" s="220">
        <f t="shared" si="62"/>
        <v>0</v>
      </c>
      <c r="V474" s="220">
        <f t="shared" si="62"/>
        <v>0</v>
      </c>
      <c r="W474" s="220">
        <f t="shared" si="62"/>
        <v>679606.77</v>
      </c>
      <c r="X474" s="221">
        <f t="shared" si="61"/>
        <v>1889930.48</v>
      </c>
    </row>
    <row r="475" spans="2:24" ht="94.5">
      <c r="B475" s="313"/>
      <c r="C475" s="313"/>
      <c r="D475" s="318"/>
      <c r="E475" s="12" t="s">
        <v>198</v>
      </c>
      <c r="F475" s="76"/>
      <c r="G475" s="99"/>
      <c r="H475" s="235"/>
      <c r="I475" s="262" t="s">
        <v>667</v>
      </c>
      <c r="J475" s="21">
        <f>1500000+1000000</f>
        <v>2500000</v>
      </c>
      <c r="K475" s="147"/>
      <c r="L475" s="147"/>
      <c r="M475" s="147"/>
      <c r="N475" s="147"/>
      <c r="O475" s="147">
        <v>500000</v>
      </c>
      <c r="P475" s="147">
        <v>500000</v>
      </c>
      <c r="Q475" s="147">
        <v>500000</v>
      </c>
      <c r="R475" s="147">
        <f>500000-3791.32</f>
        <v>496208.68</v>
      </c>
      <c r="S475" s="147">
        <f>500000</f>
        <v>500000</v>
      </c>
      <c r="T475" s="147"/>
      <c r="U475" s="147"/>
      <c r="V475" s="147"/>
      <c r="W475" s="147">
        <f>14592.89+7454.93+38024.16+49998.22</f>
        <v>110070.20000000001</v>
      </c>
      <c r="X475" s="221">
        <f t="shared" si="61"/>
        <v>1886138.48</v>
      </c>
    </row>
    <row r="476" spans="2:24" ht="31.5">
      <c r="B476" s="312"/>
      <c r="C476" s="312"/>
      <c r="D476" s="318"/>
      <c r="E476" s="12" t="s">
        <v>277</v>
      </c>
      <c r="F476" s="76"/>
      <c r="G476" s="99"/>
      <c r="H476" s="235"/>
      <c r="I476" s="266">
        <v>3210</v>
      </c>
      <c r="J476" s="21">
        <v>569537.25</v>
      </c>
      <c r="K476" s="147"/>
      <c r="L476" s="147"/>
      <c r="M476" s="147"/>
      <c r="N476" s="147"/>
      <c r="O476" s="147">
        <v>569537.25</v>
      </c>
      <c r="P476" s="147"/>
      <c r="Q476" s="147"/>
      <c r="R476" s="147">
        <f>3791.32</f>
        <v>3791.32</v>
      </c>
      <c r="S476" s="147"/>
      <c r="T476" s="147"/>
      <c r="U476" s="147"/>
      <c r="V476" s="147"/>
      <c r="W476" s="147">
        <v>569536.57</v>
      </c>
      <c r="X476" s="221">
        <f t="shared" si="61"/>
        <v>3792</v>
      </c>
    </row>
    <row r="477" spans="2:24" ht="15.75">
      <c r="B477" s="303" t="s">
        <v>352</v>
      </c>
      <c r="C477" s="303" t="s">
        <v>353</v>
      </c>
      <c r="D477" s="307" t="s">
        <v>41</v>
      </c>
      <c r="E477" s="28"/>
      <c r="F477" s="76"/>
      <c r="G477" s="99"/>
      <c r="H477" s="235"/>
      <c r="I477" s="266"/>
      <c r="J477" s="220">
        <f>SUM(J478:J494)</f>
        <v>5383840.26</v>
      </c>
      <c r="K477" s="220">
        <f aca="true" t="shared" si="63" ref="K477:W477">SUM(K478:K494)</f>
        <v>0</v>
      </c>
      <c r="L477" s="220">
        <f t="shared" si="63"/>
        <v>185354.47999999998</v>
      </c>
      <c r="M477" s="220">
        <f t="shared" si="63"/>
        <v>0</v>
      </c>
      <c r="N477" s="220">
        <f t="shared" si="63"/>
        <v>0</v>
      </c>
      <c r="O477" s="220">
        <f t="shared" si="63"/>
        <v>513320.11</v>
      </c>
      <c r="P477" s="220">
        <f t="shared" si="63"/>
        <v>460952</v>
      </c>
      <c r="Q477" s="220">
        <f t="shared" si="63"/>
        <v>1200000</v>
      </c>
      <c r="R477" s="220">
        <f t="shared" si="63"/>
        <v>1561295.7799999998</v>
      </c>
      <c r="S477" s="220">
        <f t="shared" si="63"/>
        <v>254080.21</v>
      </c>
      <c r="T477" s="220">
        <f t="shared" si="63"/>
        <v>100000</v>
      </c>
      <c r="U477" s="220">
        <f t="shared" si="63"/>
        <v>1108837.68</v>
      </c>
      <c r="V477" s="220">
        <f t="shared" si="63"/>
        <v>0</v>
      </c>
      <c r="W477" s="220">
        <f t="shared" si="63"/>
        <v>195957.55</v>
      </c>
      <c r="X477" s="221">
        <f t="shared" si="61"/>
        <v>3724964.82</v>
      </c>
    </row>
    <row r="478" spans="2:24" ht="94.5">
      <c r="B478" s="304"/>
      <c r="C478" s="304"/>
      <c r="D478" s="308"/>
      <c r="E478" s="28" t="s">
        <v>503</v>
      </c>
      <c r="F478" s="14">
        <v>200000</v>
      </c>
      <c r="G478" s="18">
        <f>100%-((F478-H478)/F478)</f>
        <v>1</v>
      </c>
      <c r="H478" s="240">
        <v>200000</v>
      </c>
      <c r="I478" s="268">
        <v>3142</v>
      </c>
      <c r="J478" s="9">
        <v>6141.31</v>
      </c>
      <c r="K478" s="147"/>
      <c r="L478" s="9">
        <v>6141.31</v>
      </c>
      <c r="M478" s="147"/>
      <c r="N478" s="147"/>
      <c r="O478" s="147"/>
      <c r="P478" s="147"/>
      <c r="Q478" s="147"/>
      <c r="R478" s="147"/>
      <c r="S478" s="147"/>
      <c r="T478" s="147"/>
      <c r="U478" s="147"/>
      <c r="V478" s="147"/>
      <c r="W478" s="9">
        <v>6141.31</v>
      </c>
      <c r="X478" s="221">
        <f t="shared" si="61"/>
        <v>0</v>
      </c>
    </row>
    <row r="479" spans="2:24" ht="63">
      <c r="B479" s="304"/>
      <c r="C479" s="304"/>
      <c r="D479" s="308"/>
      <c r="E479" s="12" t="s">
        <v>504</v>
      </c>
      <c r="F479" s="14">
        <v>3200000</v>
      </c>
      <c r="G479" s="18">
        <f>100%-((F479-H479)/F479)</f>
        <v>1</v>
      </c>
      <c r="H479" s="240">
        <v>3200000</v>
      </c>
      <c r="I479" s="268">
        <v>3142</v>
      </c>
      <c r="J479" s="9">
        <v>37961.83</v>
      </c>
      <c r="K479" s="147"/>
      <c r="L479" s="9">
        <v>37961.83</v>
      </c>
      <c r="M479" s="147"/>
      <c r="N479" s="147"/>
      <c r="O479" s="147"/>
      <c r="P479" s="147"/>
      <c r="Q479" s="147"/>
      <c r="R479" s="147"/>
      <c r="S479" s="147"/>
      <c r="T479" s="147"/>
      <c r="U479" s="147"/>
      <c r="V479" s="147"/>
      <c r="W479" s="9">
        <v>37961.83</v>
      </c>
      <c r="X479" s="221">
        <f t="shared" si="61"/>
        <v>0</v>
      </c>
    </row>
    <row r="480" spans="2:24" ht="78.75">
      <c r="B480" s="304"/>
      <c r="C480" s="304"/>
      <c r="D480" s="308"/>
      <c r="E480" s="29" t="s">
        <v>505</v>
      </c>
      <c r="F480" s="14">
        <v>975710</v>
      </c>
      <c r="G480" s="18">
        <f>100%-((F480-H480)/F480)</f>
        <v>0.325250228039069</v>
      </c>
      <c r="H480" s="240">
        <v>317349.9</v>
      </c>
      <c r="I480" s="268">
        <v>3142</v>
      </c>
      <c r="J480" s="9">
        <v>141251.34</v>
      </c>
      <c r="K480" s="147"/>
      <c r="L480" s="9">
        <v>141251.34</v>
      </c>
      <c r="M480" s="147"/>
      <c r="N480" s="147"/>
      <c r="O480" s="147"/>
      <c r="P480" s="147"/>
      <c r="Q480" s="147"/>
      <c r="R480" s="147"/>
      <c r="S480" s="147"/>
      <c r="T480" s="147"/>
      <c r="U480" s="147"/>
      <c r="V480" s="147"/>
      <c r="W480" s="9">
        <v>141251.34</v>
      </c>
      <c r="X480" s="221">
        <f t="shared" si="61"/>
        <v>0</v>
      </c>
    </row>
    <row r="481" spans="2:24" ht="63">
      <c r="B481" s="304"/>
      <c r="C481" s="304"/>
      <c r="D481" s="308"/>
      <c r="E481" s="10" t="s">
        <v>199</v>
      </c>
      <c r="F481" s="106"/>
      <c r="G481" s="106"/>
      <c r="H481" s="238"/>
      <c r="I481" s="268">
        <v>3142</v>
      </c>
      <c r="J481" s="21">
        <f>234829</f>
        <v>234829</v>
      </c>
      <c r="K481" s="147"/>
      <c r="L481" s="147"/>
      <c r="M481" s="147"/>
      <c r="N481" s="147"/>
      <c r="O481" s="147">
        <v>134829</v>
      </c>
      <c r="P481" s="147">
        <f>100000-11000</f>
        <v>89000</v>
      </c>
      <c r="Q481" s="147">
        <v>11000</v>
      </c>
      <c r="R481" s="147"/>
      <c r="S481" s="147"/>
      <c r="T481" s="147"/>
      <c r="U481" s="147"/>
      <c r="V481" s="147"/>
      <c r="W481" s="147"/>
      <c r="X481" s="221">
        <f t="shared" si="61"/>
        <v>234829</v>
      </c>
    </row>
    <row r="482" spans="2:24" ht="63">
      <c r="B482" s="304"/>
      <c r="C482" s="304"/>
      <c r="D482" s="308"/>
      <c r="E482" s="10" t="s">
        <v>200</v>
      </c>
      <c r="F482" s="106"/>
      <c r="G482" s="106"/>
      <c r="H482" s="238"/>
      <c r="I482" s="268">
        <v>3142</v>
      </c>
      <c r="J482" s="21">
        <v>81270</v>
      </c>
      <c r="K482" s="147"/>
      <c r="L482" s="147"/>
      <c r="M482" s="147"/>
      <c r="N482" s="147"/>
      <c r="O482" s="147">
        <v>81270</v>
      </c>
      <c r="P482" s="147"/>
      <c r="Q482" s="147"/>
      <c r="R482" s="147"/>
      <c r="S482" s="147"/>
      <c r="T482" s="147"/>
      <c r="U482" s="147"/>
      <c r="V482" s="147"/>
      <c r="W482" s="147"/>
      <c r="X482" s="221">
        <f t="shared" si="61"/>
        <v>81270</v>
      </c>
    </row>
    <row r="483" spans="2:24" ht="31.5">
      <c r="B483" s="304"/>
      <c r="C483" s="304"/>
      <c r="D483" s="308"/>
      <c r="E483" s="52" t="s">
        <v>201</v>
      </c>
      <c r="F483" s="106"/>
      <c r="G483" s="106"/>
      <c r="H483" s="238"/>
      <c r="I483" s="268">
        <v>3142</v>
      </c>
      <c r="J483" s="21">
        <v>90000</v>
      </c>
      <c r="K483" s="147"/>
      <c r="L483" s="147"/>
      <c r="M483" s="147"/>
      <c r="N483" s="147"/>
      <c r="O483" s="147"/>
      <c r="P483" s="147">
        <v>5652</v>
      </c>
      <c r="Q483" s="147"/>
      <c r="R483" s="147">
        <v>40000</v>
      </c>
      <c r="S483" s="147">
        <v>44348</v>
      </c>
      <c r="T483" s="147"/>
      <c r="U483" s="147"/>
      <c r="V483" s="147"/>
      <c r="W483" s="147"/>
      <c r="X483" s="221">
        <f t="shared" si="61"/>
        <v>45652</v>
      </c>
    </row>
    <row r="484" spans="2:24" ht="78.75">
      <c r="B484" s="304"/>
      <c r="C484" s="304"/>
      <c r="D484" s="308"/>
      <c r="E484" s="10" t="s">
        <v>202</v>
      </c>
      <c r="F484" s="106"/>
      <c r="G484" s="107"/>
      <c r="H484" s="239"/>
      <c r="I484" s="268">
        <v>3142</v>
      </c>
      <c r="J484" s="21">
        <v>200000</v>
      </c>
      <c r="K484" s="147"/>
      <c r="L484" s="147"/>
      <c r="M484" s="147"/>
      <c r="N484" s="147"/>
      <c r="O484" s="147"/>
      <c r="P484" s="147">
        <v>11000</v>
      </c>
      <c r="Q484" s="147">
        <f>200000-11000</f>
        <v>189000</v>
      </c>
      <c r="R484" s="147"/>
      <c r="S484" s="147"/>
      <c r="T484" s="147"/>
      <c r="U484" s="147"/>
      <c r="V484" s="147"/>
      <c r="W484" s="147">
        <v>10603.07</v>
      </c>
      <c r="X484" s="221">
        <f t="shared" si="61"/>
        <v>189396.93</v>
      </c>
    </row>
    <row r="485" spans="2:24" ht="78.75">
      <c r="B485" s="304"/>
      <c r="C485" s="304"/>
      <c r="D485" s="308"/>
      <c r="E485" s="10" t="s">
        <v>827</v>
      </c>
      <c r="F485" s="109"/>
      <c r="G485" s="106"/>
      <c r="H485" s="241"/>
      <c r="I485" s="268">
        <v>3122</v>
      </c>
      <c r="J485" s="21">
        <v>49000</v>
      </c>
      <c r="K485" s="147"/>
      <c r="L485" s="147"/>
      <c r="M485" s="147"/>
      <c r="N485" s="147"/>
      <c r="O485" s="147">
        <v>25000</v>
      </c>
      <c r="P485" s="147">
        <v>24000</v>
      </c>
      <c r="Q485" s="147"/>
      <c r="R485" s="147"/>
      <c r="S485" s="147"/>
      <c r="T485" s="147"/>
      <c r="U485" s="147"/>
      <c r="V485" s="147"/>
      <c r="W485" s="147"/>
      <c r="X485" s="221">
        <f t="shared" si="61"/>
        <v>49000</v>
      </c>
    </row>
    <row r="486" spans="2:24" ht="78.75">
      <c r="B486" s="304"/>
      <c r="C486" s="304"/>
      <c r="D486" s="308"/>
      <c r="E486" s="10" t="s">
        <v>828</v>
      </c>
      <c r="F486" s="109"/>
      <c r="G486" s="106"/>
      <c r="H486" s="241"/>
      <c r="I486" s="268">
        <v>3122</v>
      </c>
      <c r="J486" s="21">
        <v>56300</v>
      </c>
      <c r="K486" s="147"/>
      <c r="L486" s="147"/>
      <c r="M486" s="147"/>
      <c r="N486" s="147"/>
      <c r="O486" s="147">
        <v>25000</v>
      </c>
      <c r="P486" s="147">
        <v>31300</v>
      </c>
      <c r="Q486" s="147"/>
      <c r="R486" s="147"/>
      <c r="S486" s="147"/>
      <c r="T486" s="147"/>
      <c r="U486" s="147"/>
      <c r="V486" s="147"/>
      <c r="W486" s="147"/>
      <c r="X486" s="221">
        <f t="shared" si="61"/>
        <v>56300</v>
      </c>
    </row>
    <row r="487" spans="2:24" ht="63">
      <c r="B487" s="304"/>
      <c r="C487" s="304"/>
      <c r="D487" s="308"/>
      <c r="E487" s="110" t="s">
        <v>152</v>
      </c>
      <c r="F487" s="109"/>
      <c r="G487" s="106"/>
      <c r="H487" s="241"/>
      <c r="I487" s="268">
        <v>3122</v>
      </c>
      <c r="J487" s="21">
        <v>227800</v>
      </c>
      <c r="K487" s="147"/>
      <c r="L487" s="147"/>
      <c r="M487" s="147"/>
      <c r="N487" s="147"/>
      <c r="O487" s="147">
        <v>27800</v>
      </c>
      <c r="P487" s="147">
        <v>100000</v>
      </c>
      <c r="Q487" s="147">
        <v>100000</v>
      </c>
      <c r="R487" s="147"/>
      <c r="S487" s="147"/>
      <c r="T487" s="147"/>
      <c r="U487" s="147"/>
      <c r="V487" s="147"/>
      <c r="W487" s="147"/>
      <c r="X487" s="221">
        <f t="shared" si="61"/>
        <v>227800</v>
      </c>
    </row>
    <row r="488" spans="2:24" ht="78.75">
      <c r="B488" s="304"/>
      <c r="C488" s="304"/>
      <c r="D488" s="308"/>
      <c r="E488" s="10" t="s">
        <v>153</v>
      </c>
      <c r="F488" s="109"/>
      <c r="G488" s="106"/>
      <c r="H488" s="241"/>
      <c r="I488" s="268">
        <v>3122</v>
      </c>
      <c r="J488" s="21">
        <v>350000</v>
      </c>
      <c r="K488" s="147"/>
      <c r="L488" s="147"/>
      <c r="M488" s="147"/>
      <c r="N488" s="147"/>
      <c r="O488" s="147">
        <v>50000</v>
      </c>
      <c r="P488" s="147">
        <v>100000</v>
      </c>
      <c r="Q488" s="147">
        <v>100000</v>
      </c>
      <c r="R488" s="147">
        <v>100000</v>
      </c>
      <c r="S488" s="147"/>
      <c r="T488" s="147"/>
      <c r="U488" s="147"/>
      <c r="V488" s="147"/>
      <c r="W488" s="147"/>
      <c r="X488" s="221">
        <f t="shared" si="61"/>
        <v>350000</v>
      </c>
    </row>
    <row r="489" spans="2:24" ht="31.5">
      <c r="B489" s="304"/>
      <c r="C489" s="304"/>
      <c r="D489" s="308"/>
      <c r="E489" s="108" t="s">
        <v>154</v>
      </c>
      <c r="F489" s="109"/>
      <c r="G489" s="106"/>
      <c r="H489" s="241"/>
      <c r="I489" s="268">
        <v>3122</v>
      </c>
      <c r="J489" s="21">
        <v>200000</v>
      </c>
      <c r="K489" s="147"/>
      <c r="L489" s="147"/>
      <c r="M489" s="147"/>
      <c r="N489" s="147"/>
      <c r="O489" s="147">
        <v>50000</v>
      </c>
      <c r="P489" s="147"/>
      <c r="Q489" s="147"/>
      <c r="R489" s="147"/>
      <c r="S489" s="147">
        <v>50000</v>
      </c>
      <c r="T489" s="147">
        <v>100000</v>
      </c>
      <c r="U489" s="147"/>
      <c r="V489" s="147"/>
      <c r="W489" s="147"/>
      <c r="X489" s="221">
        <f t="shared" si="61"/>
        <v>50000</v>
      </c>
    </row>
    <row r="490" spans="2:24" ht="47.25">
      <c r="B490" s="304"/>
      <c r="C490" s="304"/>
      <c r="D490" s="308"/>
      <c r="E490" s="108" t="s">
        <v>155</v>
      </c>
      <c r="F490" s="109"/>
      <c r="G490" s="109"/>
      <c r="H490" s="241"/>
      <c r="I490" s="268">
        <v>3122</v>
      </c>
      <c r="J490" s="21">
        <v>3000000</v>
      </c>
      <c r="K490" s="213"/>
      <c r="L490" s="213"/>
      <c r="M490" s="213"/>
      <c r="N490" s="213"/>
      <c r="O490" s="213">
        <v>119421.11</v>
      </c>
      <c r="P490" s="147">
        <v>100000</v>
      </c>
      <c r="Q490" s="213">
        <f>600000+300000-100000</f>
        <v>800000</v>
      </c>
      <c r="R490" s="213">
        <f>600000+1120846.68-299550.9</f>
        <v>1421295.7799999998</v>
      </c>
      <c r="S490" s="213">
        <v>159732.21</v>
      </c>
      <c r="T490" s="213"/>
      <c r="U490" s="213">
        <v>399550.9</v>
      </c>
      <c r="V490" s="213"/>
      <c r="W490" s="147"/>
      <c r="X490" s="221">
        <f t="shared" si="61"/>
        <v>2440716.8899999997</v>
      </c>
    </row>
    <row r="491" spans="2:24" ht="47.25">
      <c r="B491" s="304"/>
      <c r="C491" s="304"/>
      <c r="D491" s="308"/>
      <c r="E491" s="12" t="s">
        <v>156</v>
      </c>
      <c r="F491" s="109"/>
      <c r="G491" s="111"/>
      <c r="H491" s="241"/>
      <c r="I491" s="268">
        <v>3122</v>
      </c>
      <c r="J491" s="21">
        <v>150000</v>
      </c>
      <c r="K491" s="147"/>
      <c r="L491" s="147"/>
      <c r="M491" s="147"/>
      <c r="N491" s="147"/>
      <c r="O491" s="147"/>
      <c r="P491" s="147"/>
      <c r="Q491" s="147"/>
      <c r="R491" s="147"/>
      <c r="S491" s="147"/>
      <c r="T491" s="147"/>
      <c r="U491" s="147">
        <v>150000</v>
      </c>
      <c r="V491" s="147"/>
      <c r="W491" s="147"/>
      <c r="X491" s="221">
        <f t="shared" si="61"/>
        <v>0</v>
      </c>
    </row>
    <row r="492" spans="2:24" ht="47.25">
      <c r="B492" s="304"/>
      <c r="C492" s="304"/>
      <c r="D492" s="308"/>
      <c r="E492" s="12" t="s">
        <v>157</v>
      </c>
      <c r="F492" s="109"/>
      <c r="G492" s="111"/>
      <c r="H492" s="241"/>
      <c r="I492" s="268">
        <v>3122</v>
      </c>
      <c r="J492" s="21">
        <v>419722</v>
      </c>
      <c r="K492" s="147"/>
      <c r="L492" s="147"/>
      <c r="M492" s="147"/>
      <c r="N492" s="147"/>
      <c r="O492" s="147"/>
      <c r="P492" s="147"/>
      <c r="Q492" s="147"/>
      <c r="R492" s="147"/>
      <c r="S492" s="147"/>
      <c r="T492" s="147"/>
      <c r="U492" s="147">
        <v>419722</v>
      </c>
      <c r="V492" s="147"/>
      <c r="W492" s="147"/>
      <c r="X492" s="221">
        <f t="shared" si="61"/>
        <v>0</v>
      </c>
    </row>
    <row r="493" spans="2:24" ht="63">
      <c r="B493" s="304"/>
      <c r="C493" s="304"/>
      <c r="D493" s="308"/>
      <c r="E493" s="12" t="s">
        <v>158</v>
      </c>
      <c r="F493" s="109"/>
      <c r="G493" s="111"/>
      <c r="H493" s="241"/>
      <c r="I493" s="268">
        <v>3122</v>
      </c>
      <c r="J493" s="21">
        <v>42318.81</v>
      </c>
      <c r="K493" s="147"/>
      <c r="L493" s="147"/>
      <c r="M493" s="147"/>
      <c r="N493" s="147"/>
      <c r="O493" s="147"/>
      <c r="P493" s="147"/>
      <c r="Q493" s="147"/>
      <c r="R493" s="147"/>
      <c r="S493" s="147"/>
      <c r="T493" s="147"/>
      <c r="U493" s="147">
        <v>42318.81</v>
      </c>
      <c r="V493" s="147"/>
      <c r="W493" s="147"/>
      <c r="X493" s="221">
        <f t="shared" si="61"/>
        <v>0</v>
      </c>
    </row>
    <row r="494" spans="2:24" ht="94.5">
      <c r="B494" s="306"/>
      <c r="C494" s="306"/>
      <c r="D494" s="310"/>
      <c r="E494" s="10" t="s">
        <v>159</v>
      </c>
      <c r="F494" s="109"/>
      <c r="G494" s="111"/>
      <c r="H494" s="241"/>
      <c r="I494" s="268">
        <v>3142</v>
      </c>
      <c r="J494" s="112">
        <v>97245.97</v>
      </c>
      <c r="K494" s="147"/>
      <c r="L494" s="147"/>
      <c r="M494" s="147"/>
      <c r="N494" s="147"/>
      <c r="O494" s="147"/>
      <c r="P494" s="147"/>
      <c r="Q494" s="147"/>
      <c r="R494" s="147"/>
      <c r="S494" s="147"/>
      <c r="T494" s="147"/>
      <c r="U494" s="147">
        <v>97245.97</v>
      </c>
      <c r="V494" s="147"/>
      <c r="W494" s="147"/>
      <c r="X494" s="221">
        <f t="shared" si="61"/>
        <v>0</v>
      </c>
    </row>
    <row r="495" spans="2:24" ht="15.75">
      <c r="B495" s="311" t="s">
        <v>739</v>
      </c>
      <c r="C495" s="311" t="s">
        <v>740</v>
      </c>
      <c r="D495" s="307" t="s">
        <v>831</v>
      </c>
      <c r="E495" s="29"/>
      <c r="F495" s="14"/>
      <c r="G495" s="18"/>
      <c r="H495" s="240"/>
      <c r="I495" s="268"/>
      <c r="J495" s="220">
        <f>J496+J497</f>
        <v>32048234.95</v>
      </c>
      <c r="K495" s="220">
        <f aca="true" t="shared" si="64" ref="K495:W495">K496+K497</f>
        <v>0</v>
      </c>
      <c r="L495" s="220">
        <f t="shared" si="64"/>
        <v>0</v>
      </c>
      <c r="M495" s="220">
        <f t="shared" si="64"/>
        <v>0</v>
      </c>
      <c r="N495" s="220">
        <f t="shared" si="64"/>
        <v>0</v>
      </c>
      <c r="O495" s="220">
        <f t="shared" si="64"/>
        <v>0</v>
      </c>
      <c r="P495" s="220">
        <f t="shared" si="64"/>
        <v>0</v>
      </c>
      <c r="Q495" s="220">
        <f t="shared" si="64"/>
        <v>0</v>
      </c>
      <c r="R495" s="220">
        <f t="shared" si="64"/>
        <v>16016000</v>
      </c>
      <c r="S495" s="220">
        <f t="shared" si="64"/>
        <v>16032234.95</v>
      </c>
      <c r="T495" s="220">
        <f t="shared" si="64"/>
        <v>0</v>
      </c>
      <c r="U495" s="220">
        <f t="shared" si="64"/>
        <v>0</v>
      </c>
      <c r="V495" s="220">
        <f t="shared" si="64"/>
        <v>0</v>
      </c>
      <c r="W495" s="220">
        <f t="shared" si="64"/>
        <v>0</v>
      </c>
      <c r="X495" s="221">
        <f t="shared" si="61"/>
        <v>16016000</v>
      </c>
    </row>
    <row r="496" spans="2:24" ht="31.5">
      <c r="B496" s="313"/>
      <c r="C496" s="313"/>
      <c r="D496" s="308"/>
      <c r="E496" s="105" t="s">
        <v>160</v>
      </c>
      <c r="F496" s="113"/>
      <c r="G496" s="114"/>
      <c r="H496" s="239"/>
      <c r="I496" s="261">
        <v>3110</v>
      </c>
      <c r="J496" s="21">
        <f>32687234.95+95000-734000</f>
        <v>32048234.95</v>
      </c>
      <c r="K496" s="147"/>
      <c r="L496" s="147"/>
      <c r="M496" s="147"/>
      <c r="N496" s="147"/>
      <c r="O496" s="147"/>
      <c r="P496" s="147"/>
      <c r="Q496" s="147"/>
      <c r="R496" s="147">
        <f>16200000-184000</f>
        <v>16016000</v>
      </c>
      <c r="S496" s="147">
        <f>16582234.95-550000</f>
        <v>16032234.95</v>
      </c>
      <c r="T496" s="147"/>
      <c r="U496" s="147"/>
      <c r="V496" s="147"/>
      <c r="W496" s="147"/>
      <c r="X496" s="221">
        <f t="shared" si="61"/>
        <v>16016000</v>
      </c>
    </row>
    <row r="497" spans="2:24" ht="15.75" hidden="1">
      <c r="B497" s="312"/>
      <c r="C497" s="312"/>
      <c r="D497" s="310"/>
      <c r="E497" s="105" t="s">
        <v>161</v>
      </c>
      <c r="F497" s="113"/>
      <c r="G497" s="114"/>
      <c r="H497" s="239"/>
      <c r="I497" s="261">
        <v>3110</v>
      </c>
      <c r="J497" s="21">
        <f>400000-400000</f>
        <v>0</v>
      </c>
      <c r="K497" s="147"/>
      <c r="L497" s="147"/>
      <c r="M497" s="147"/>
      <c r="N497" s="147"/>
      <c r="O497" s="147"/>
      <c r="P497" s="147"/>
      <c r="Q497" s="147"/>
      <c r="R497" s="147">
        <f>400000-400000</f>
        <v>0</v>
      </c>
      <c r="S497" s="147"/>
      <c r="T497" s="147"/>
      <c r="U497" s="147"/>
      <c r="V497" s="147"/>
      <c r="W497" s="147"/>
      <c r="X497" s="221">
        <f t="shared" si="61"/>
        <v>0</v>
      </c>
    </row>
    <row r="498" spans="2:24" ht="15.75">
      <c r="B498" s="303" t="s">
        <v>506</v>
      </c>
      <c r="C498" s="303" t="s">
        <v>751</v>
      </c>
      <c r="D498" s="307" t="s">
        <v>507</v>
      </c>
      <c r="E498" s="29"/>
      <c r="F498" s="76"/>
      <c r="G498" s="18"/>
      <c r="H498" s="235"/>
      <c r="I498" s="266"/>
      <c r="J498" s="220">
        <f>SUM(J499:J521)</f>
        <v>17916888.87</v>
      </c>
      <c r="K498" s="220">
        <f aca="true" t="shared" si="65" ref="K498:W498">SUM(K499:K521)</f>
        <v>0</v>
      </c>
      <c r="L498" s="220">
        <f t="shared" si="65"/>
        <v>1236888.87</v>
      </c>
      <c r="M498" s="220">
        <f t="shared" si="65"/>
        <v>0</v>
      </c>
      <c r="N498" s="220">
        <f t="shared" si="65"/>
        <v>0</v>
      </c>
      <c r="O498" s="220">
        <f t="shared" si="65"/>
        <v>3130000</v>
      </c>
      <c r="P498" s="220">
        <f t="shared" si="65"/>
        <v>950000</v>
      </c>
      <c r="Q498" s="220">
        <f t="shared" si="65"/>
        <v>3350000</v>
      </c>
      <c r="R498" s="220">
        <f t="shared" si="65"/>
        <v>3076000</v>
      </c>
      <c r="S498" s="220">
        <f t="shared" si="65"/>
        <v>3340267.79</v>
      </c>
      <c r="T498" s="220">
        <f t="shared" si="65"/>
        <v>1809732.21</v>
      </c>
      <c r="U498" s="220">
        <f t="shared" si="65"/>
        <v>600000</v>
      </c>
      <c r="V498" s="220">
        <f t="shared" si="65"/>
        <v>424000</v>
      </c>
      <c r="W498" s="220">
        <f t="shared" si="65"/>
        <v>3024137.16</v>
      </c>
      <c r="X498" s="221">
        <f t="shared" si="61"/>
        <v>8718751.71</v>
      </c>
    </row>
    <row r="499" spans="2:24" ht="31.5">
      <c r="B499" s="304"/>
      <c r="C499" s="304"/>
      <c r="D499" s="308"/>
      <c r="E499" s="29" t="s">
        <v>222</v>
      </c>
      <c r="F499" s="30">
        <v>1173052</v>
      </c>
      <c r="G499" s="18">
        <f>100%-((F499-H499)/F499)</f>
        <v>0.7</v>
      </c>
      <c r="H499" s="240">
        <v>821136.4</v>
      </c>
      <c r="I499" s="268">
        <v>3132</v>
      </c>
      <c r="J499" s="9">
        <v>745220.14</v>
      </c>
      <c r="K499" s="147"/>
      <c r="L499" s="9">
        <v>745220.14</v>
      </c>
      <c r="M499" s="147"/>
      <c r="N499" s="147"/>
      <c r="O499" s="147"/>
      <c r="P499" s="147"/>
      <c r="Q499" s="147"/>
      <c r="R499" s="147"/>
      <c r="S499" s="147"/>
      <c r="T499" s="147"/>
      <c r="U499" s="147"/>
      <c r="V499" s="147"/>
      <c r="W499" s="147">
        <v>745220.14</v>
      </c>
      <c r="X499" s="221">
        <f t="shared" si="61"/>
        <v>0</v>
      </c>
    </row>
    <row r="500" spans="2:24" ht="63">
      <c r="B500" s="304"/>
      <c r="C500" s="304"/>
      <c r="D500" s="308"/>
      <c r="E500" s="12" t="s">
        <v>239</v>
      </c>
      <c r="F500" s="30"/>
      <c r="G500" s="18"/>
      <c r="H500" s="240"/>
      <c r="I500" s="268">
        <v>3132</v>
      </c>
      <c r="J500" s="9">
        <v>44077.15</v>
      </c>
      <c r="K500" s="147"/>
      <c r="L500" s="9">
        <v>44077.15</v>
      </c>
      <c r="M500" s="147"/>
      <c r="N500" s="147"/>
      <c r="O500" s="147"/>
      <c r="P500" s="147"/>
      <c r="Q500" s="147"/>
      <c r="R500" s="147"/>
      <c r="S500" s="147"/>
      <c r="T500" s="147"/>
      <c r="U500" s="147"/>
      <c r="V500" s="147"/>
      <c r="W500" s="147">
        <v>44077.15</v>
      </c>
      <c r="X500" s="221">
        <f t="shared" si="61"/>
        <v>0</v>
      </c>
    </row>
    <row r="501" spans="2:24" ht="47.25">
      <c r="B501" s="304"/>
      <c r="C501" s="304"/>
      <c r="D501" s="308"/>
      <c r="E501" s="12" t="s">
        <v>240</v>
      </c>
      <c r="F501" s="30"/>
      <c r="G501" s="18"/>
      <c r="H501" s="240"/>
      <c r="I501" s="268">
        <v>3132</v>
      </c>
      <c r="J501" s="9">
        <v>156953.04</v>
      </c>
      <c r="K501" s="147"/>
      <c r="L501" s="9">
        <v>156953.04</v>
      </c>
      <c r="M501" s="147"/>
      <c r="N501" s="147"/>
      <c r="O501" s="147"/>
      <c r="P501" s="147"/>
      <c r="Q501" s="147"/>
      <c r="R501" s="147"/>
      <c r="S501" s="147"/>
      <c r="T501" s="147"/>
      <c r="U501" s="147"/>
      <c r="V501" s="147"/>
      <c r="W501" s="147">
        <v>156953.04</v>
      </c>
      <c r="X501" s="221">
        <f t="shared" si="61"/>
        <v>0</v>
      </c>
    </row>
    <row r="502" spans="2:24" ht="47.25">
      <c r="B502" s="304"/>
      <c r="C502" s="304"/>
      <c r="D502" s="308"/>
      <c r="E502" s="12" t="s">
        <v>241</v>
      </c>
      <c r="F502" s="30"/>
      <c r="G502" s="18"/>
      <c r="H502" s="240"/>
      <c r="I502" s="268">
        <v>3132</v>
      </c>
      <c r="J502" s="9">
        <v>11559.33</v>
      </c>
      <c r="K502" s="147"/>
      <c r="L502" s="9">
        <v>11559.33</v>
      </c>
      <c r="M502" s="147"/>
      <c r="N502" s="147"/>
      <c r="O502" s="147"/>
      <c r="P502" s="147"/>
      <c r="Q502" s="147"/>
      <c r="R502" s="147"/>
      <c r="S502" s="147"/>
      <c r="T502" s="147"/>
      <c r="U502" s="147"/>
      <c r="V502" s="147"/>
      <c r="W502" s="147">
        <v>11559.33</v>
      </c>
      <c r="X502" s="221">
        <f t="shared" si="61"/>
        <v>0</v>
      </c>
    </row>
    <row r="503" spans="2:24" ht="47.25">
      <c r="B503" s="304"/>
      <c r="C503" s="304"/>
      <c r="D503" s="308"/>
      <c r="E503" s="12" t="s">
        <v>242</v>
      </c>
      <c r="F503" s="30"/>
      <c r="G503" s="18"/>
      <c r="H503" s="240"/>
      <c r="I503" s="268">
        <v>3122</v>
      </c>
      <c r="J503" s="9">
        <v>279079.21</v>
      </c>
      <c r="K503" s="147"/>
      <c r="L503" s="9">
        <v>279079.21</v>
      </c>
      <c r="M503" s="147"/>
      <c r="N503" s="147"/>
      <c r="O503" s="147"/>
      <c r="P503" s="147"/>
      <c r="Q503" s="147"/>
      <c r="R503" s="147"/>
      <c r="S503" s="147"/>
      <c r="T503" s="147"/>
      <c r="U503" s="147"/>
      <c r="V503" s="147"/>
      <c r="W503" s="147">
        <v>279079.21</v>
      </c>
      <c r="X503" s="221">
        <f t="shared" si="61"/>
        <v>0</v>
      </c>
    </row>
    <row r="504" spans="2:24" ht="15.75">
      <c r="B504" s="304"/>
      <c r="C504" s="304"/>
      <c r="D504" s="308"/>
      <c r="E504" s="326" t="s">
        <v>697</v>
      </c>
      <c r="F504" s="30"/>
      <c r="G504" s="18"/>
      <c r="H504" s="240"/>
      <c r="I504" s="341">
        <v>3142</v>
      </c>
      <c r="J504" s="275">
        <f>8909732.21</f>
        <v>8909732.21</v>
      </c>
      <c r="K504" s="276"/>
      <c r="L504" s="276">
        <f>49421.11-49421.11</f>
        <v>0</v>
      </c>
      <c r="M504" s="276">
        <f>600000-600000</f>
        <v>0</v>
      </c>
      <c r="N504" s="276">
        <f>600000-600000</f>
        <v>0</v>
      </c>
      <c r="O504" s="276">
        <f>600000-600000+100000</f>
        <v>100000</v>
      </c>
      <c r="P504" s="276">
        <f>600000-600000</f>
        <v>0</v>
      </c>
      <c r="Q504" s="276">
        <f>600000-600000+3000000</f>
        <v>3000000</v>
      </c>
      <c r="R504" s="276">
        <f>600000-600000+2300000</f>
        <v>2300000</v>
      </c>
      <c r="S504" s="276">
        <f>600000-600000+2300000</f>
        <v>2300000</v>
      </c>
      <c r="T504" s="276">
        <f>600000-109732.21+1209732.21-490267.79</f>
        <v>1209732.21</v>
      </c>
      <c r="U504" s="276"/>
      <c r="V504" s="276"/>
      <c r="W504" s="276">
        <v>91583</v>
      </c>
      <c r="X504" s="221">
        <f t="shared" si="61"/>
        <v>5308417</v>
      </c>
    </row>
    <row r="505" spans="2:24" ht="15.75">
      <c r="B505" s="304"/>
      <c r="C505" s="304"/>
      <c r="D505" s="308"/>
      <c r="E505" s="327"/>
      <c r="F505" s="30"/>
      <c r="G505" s="18"/>
      <c r="H505" s="240"/>
      <c r="I505" s="342"/>
      <c r="J505" s="9">
        <f>10000000-8909732.21</f>
        <v>1090267.789999999</v>
      </c>
      <c r="K505" s="147"/>
      <c r="L505" s="147"/>
      <c r="M505" s="147"/>
      <c r="N505" s="147"/>
      <c r="O505" s="147"/>
      <c r="P505" s="147"/>
      <c r="Q505" s="147"/>
      <c r="R505" s="147"/>
      <c r="S505" s="147"/>
      <c r="T505" s="147">
        <v>490267.79</v>
      </c>
      <c r="U505" s="147">
        <v>600000</v>
      </c>
      <c r="V505" s="147"/>
      <c r="W505" s="147"/>
      <c r="X505" s="221">
        <f t="shared" si="61"/>
        <v>0</v>
      </c>
    </row>
    <row r="506" spans="2:24" ht="47.25">
      <c r="B506" s="304"/>
      <c r="C506" s="304"/>
      <c r="D506" s="308"/>
      <c r="E506" s="12" t="s">
        <v>695</v>
      </c>
      <c r="F506" s="109"/>
      <c r="G506" s="111"/>
      <c r="H506" s="241"/>
      <c r="I506" s="268">
        <v>3132</v>
      </c>
      <c r="J506" s="21">
        <v>100000</v>
      </c>
      <c r="K506" s="213"/>
      <c r="L506" s="213"/>
      <c r="M506" s="213"/>
      <c r="N506" s="213"/>
      <c r="O506" s="213">
        <v>100000</v>
      </c>
      <c r="P506" s="213"/>
      <c r="Q506" s="213"/>
      <c r="R506" s="213"/>
      <c r="S506" s="213"/>
      <c r="T506" s="213"/>
      <c r="U506" s="213"/>
      <c r="V506" s="213"/>
      <c r="W506" s="147"/>
      <c r="X506" s="221">
        <f t="shared" si="61"/>
        <v>100000</v>
      </c>
    </row>
    <row r="507" spans="2:24" ht="47.25">
      <c r="B507" s="304"/>
      <c r="C507" s="304"/>
      <c r="D507" s="308"/>
      <c r="E507" s="12" t="s">
        <v>696</v>
      </c>
      <c r="F507" s="109"/>
      <c r="G507" s="111"/>
      <c r="H507" s="241"/>
      <c r="I507" s="268">
        <v>3132</v>
      </c>
      <c r="J507" s="21">
        <v>450000</v>
      </c>
      <c r="K507" s="213"/>
      <c r="L507" s="213"/>
      <c r="M507" s="213"/>
      <c r="N507" s="213"/>
      <c r="O507" s="213">
        <v>450000</v>
      </c>
      <c r="P507" s="213"/>
      <c r="Q507" s="213"/>
      <c r="R507" s="213"/>
      <c r="S507" s="213"/>
      <c r="T507" s="213"/>
      <c r="U507" s="213"/>
      <c r="V507" s="213"/>
      <c r="W507" s="147"/>
      <c r="X507" s="221">
        <f t="shared" si="61"/>
        <v>450000</v>
      </c>
    </row>
    <row r="508" spans="2:24" ht="47.25">
      <c r="B508" s="304"/>
      <c r="C508" s="304"/>
      <c r="D508" s="308"/>
      <c r="E508" s="10" t="s">
        <v>162</v>
      </c>
      <c r="F508" s="106"/>
      <c r="G508" s="107"/>
      <c r="H508" s="241"/>
      <c r="I508" s="268">
        <v>3132</v>
      </c>
      <c r="J508" s="21">
        <f>780000+180000</f>
        <v>960000</v>
      </c>
      <c r="K508" s="211"/>
      <c r="L508" s="211"/>
      <c r="M508" s="211"/>
      <c r="N508" s="211"/>
      <c r="O508" s="211">
        <v>780000</v>
      </c>
      <c r="P508" s="211"/>
      <c r="Q508" s="211"/>
      <c r="R508" s="211">
        <f>180000</f>
        <v>180000</v>
      </c>
      <c r="S508" s="211"/>
      <c r="T508" s="211"/>
      <c r="U508" s="211"/>
      <c r="V508" s="211"/>
      <c r="W508" s="147">
        <f>595000+158794+13540.35</f>
        <v>767334.35</v>
      </c>
      <c r="X508" s="221">
        <f t="shared" si="61"/>
        <v>192665.65000000002</v>
      </c>
    </row>
    <row r="509" spans="2:24" ht="15.75">
      <c r="B509" s="304"/>
      <c r="C509" s="304"/>
      <c r="D509" s="308"/>
      <c r="E509" s="10" t="s">
        <v>380</v>
      </c>
      <c r="F509" s="109"/>
      <c r="G509" s="111"/>
      <c r="H509" s="241"/>
      <c r="I509" s="268">
        <v>3132</v>
      </c>
      <c r="J509" s="112">
        <v>120000</v>
      </c>
      <c r="K509" s="211"/>
      <c r="L509" s="211"/>
      <c r="M509" s="211"/>
      <c r="N509" s="211"/>
      <c r="O509" s="211">
        <v>120000</v>
      </c>
      <c r="P509" s="211"/>
      <c r="Q509" s="211"/>
      <c r="R509" s="211"/>
      <c r="S509" s="211"/>
      <c r="T509" s="211"/>
      <c r="U509" s="211"/>
      <c r="V509" s="211"/>
      <c r="W509" s="147">
        <f>50657.59+795.88</f>
        <v>51453.469999999994</v>
      </c>
      <c r="X509" s="221">
        <f t="shared" si="61"/>
        <v>68546.53</v>
      </c>
    </row>
    <row r="510" spans="2:24" ht="31.5">
      <c r="B510" s="304"/>
      <c r="C510" s="304"/>
      <c r="D510" s="308"/>
      <c r="E510" s="10" t="s">
        <v>641</v>
      </c>
      <c r="F510" s="109"/>
      <c r="G510" s="111"/>
      <c r="H510" s="241"/>
      <c r="I510" s="268">
        <v>3132</v>
      </c>
      <c r="J510" s="112">
        <v>260000</v>
      </c>
      <c r="K510" s="213"/>
      <c r="L510" s="213"/>
      <c r="M510" s="213"/>
      <c r="N510" s="213"/>
      <c r="O510" s="213"/>
      <c r="P510" s="213">
        <v>260000</v>
      </c>
      <c r="Q510" s="213"/>
      <c r="R510" s="213"/>
      <c r="S510" s="213"/>
      <c r="T510" s="213"/>
      <c r="U510" s="213"/>
      <c r="V510" s="213"/>
      <c r="W510" s="147"/>
      <c r="X510" s="221">
        <f t="shared" si="61"/>
        <v>260000</v>
      </c>
    </row>
    <row r="511" spans="2:24" ht="31.5">
      <c r="B511" s="304"/>
      <c r="C511" s="304"/>
      <c r="D511" s="308"/>
      <c r="E511" s="10" t="s">
        <v>642</v>
      </c>
      <c r="F511" s="109"/>
      <c r="G511" s="111"/>
      <c r="H511" s="241"/>
      <c r="I511" s="268">
        <v>3132</v>
      </c>
      <c r="J511" s="112">
        <v>50000</v>
      </c>
      <c r="K511" s="213"/>
      <c r="L511" s="213"/>
      <c r="M511" s="213"/>
      <c r="N511" s="213"/>
      <c r="O511" s="213">
        <v>50000</v>
      </c>
      <c r="P511" s="213"/>
      <c r="Q511" s="213"/>
      <c r="R511" s="213"/>
      <c r="S511" s="213"/>
      <c r="T511" s="213"/>
      <c r="U511" s="213"/>
      <c r="V511" s="213"/>
      <c r="W511" s="147"/>
      <c r="X511" s="221">
        <f t="shared" si="61"/>
        <v>50000</v>
      </c>
    </row>
    <row r="512" spans="2:24" ht="31.5">
      <c r="B512" s="304"/>
      <c r="C512" s="304"/>
      <c r="D512" s="308"/>
      <c r="E512" s="10" t="s">
        <v>165</v>
      </c>
      <c r="F512" s="109"/>
      <c r="G512" s="111"/>
      <c r="H512" s="241"/>
      <c r="I512" s="268">
        <v>3132</v>
      </c>
      <c r="J512" s="112">
        <v>1100000</v>
      </c>
      <c r="K512" s="211"/>
      <c r="L512" s="211"/>
      <c r="M512" s="211"/>
      <c r="N512" s="211"/>
      <c r="O512" s="211">
        <v>400000</v>
      </c>
      <c r="P512" s="211">
        <v>350000</v>
      </c>
      <c r="Q512" s="211">
        <v>350000</v>
      </c>
      <c r="R512" s="211"/>
      <c r="S512" s="211"/>
      <c r="T512" s="211"/>
      <c r="U512" s="211"/>
      <c r="V512" s="211"/>
      <c r="W512" s="147">
        <f>734925.13</f>
        <v>734925.13</v>
      </c>
      <c r="X512" s="221">
        <f t="shared" si="61"/>
        <v>365074.87</v>
      </c>
    </row>
    <row r="513" spans="2:24" ht="63">
      <c r="B513" s="304"/>
      <c r="C513" s="304"/>
      <c r="D513" s="308"/>
      <c r="E513" s="10" t="s">
        <v>166</v>
      </c>
      <c r="F513" s="109"/>
      <c r="G513" s="111"/>
      <c r="H513" s="241"/>
      <c r="I513" s="268">
        <v>3142</v>
      </c>
      <c r="J513" s="112">
        <v>500000</v>
      </c>
      <c r="K513" s="211"/>
      <c r="L513" s="211"/>
      <c r="M513" s="211"/>
      <c r="N513" s="211"/>
      <c r="O513" s="211"/>
      <c r="P513" s="211"/>
      <c r="Q513" s="211"/>
      <c r="R513" s="211">
        <v>76000</v>
      </c>
      <c r="S513" s="211"/>
      <c r="T513" s="211"/>
      <c r="U513" s="211"/>
      <c r="V513" s="211">
        <v>424000</v>
      </c>
      <c r="W513" s="147"/>
      <c r="X513" s="221">
        <f t="shared" si="61"/>
        <v>76000</v>
      </c>
    </row>
    <row r="514" spans="2:24" ht="63">
      <c r="B514" s="304"/>
      <c r="C514" s="304"/>
      <c r="D514" s="308"/>
      <c r="E514" s="10" t="s">
        <v>233</v>
      </c>
      <c r="F514" s="109"/>
      <c r="G514" s="111"/>
      <c r="H514" s="241"/>
      <c r="I514" s="268">
        <v>3132</v>
      </c>
      <c r="J514" s="112">
        <v>40000</v>
      </c>
      <c r="K514" s="213"/>
      <c r="L514" s="213"/>
      <c r="M514" s="213"/>
      <c r="N514" s="213"/>
      <c r="O514" s="213">
        <v>10000</v>
      </c>
      <c r="P514" s="213">
        <v>30000</v>
      </c>
      <c r="Q514" s="213"/>
      <c r="R514" s="213"/>
      <c r="S514" s="213"/>
      <c r="T514" s="213"/>
      <c r="U514" s="213"/>
      <c r="V514" s="213"/>
      <c r="W514" s="147"/>
      <c r="X514" s="221">
        <f t="shared" si="61"/>
        <v>40000</v>
      </c>
    </row>
    <row r="515" spans="2:24" ht="78.75">
      <c r="B515" s="304"/>
      <c r="C515" s="304"/>
      <c r="D515" s="308"/>
      <c r="E515" s="10" t="s">
        <v>699</v>
      </c>
      <c r="F515" s="109"/>
      <c r="G515" s="111"/>
      <c r="H515" s="241"/>
      <c r="I515" s="268">
        <v>3132</v>
      </c>
      <c r="J515" s="112">
        <v>60000</v>
      </c>
      <c r="K515" s="213"/>
      <c r="L515" s="213"/>
      <c r="M515" s="213"/>
      <c r="N515" s="213"/>
      <c r="O515" s="213">
        <v>15000</v>
      </c>
      <c r="P515" s="213">
        <v>45000</v>
      </c>
      <c r="Q515" s="213"/>
      <c r="R515" s="213"/>
      <c r="S515" s="213"/>
      <c r="T515" s="213"/>
      <c r="U515" s="213"/>
      <c r="V515" s="213"/>
      <c r="W515" s="147"/>
      <c r="X515" s="221">
        <f t="shared" si="61"/>
        <v>60000</v>
      </c>
    </row>
    <row r="516" spans="2:24" ht="63">
      <c r="B516" s="304"/>
      <c r="C516" s="304"/>
      <c r="D516" s="308"/>
      <c r="E516" s="10" t="s">
        <v>700</v>
      </c>
      <c r="F516" s="109"/>
      <c r="G516" s="111"/>
      <c r="H516" s="241"/>
      <c r="I516" s="268">
        <v>3132</v>
      </c>
      <c r="J516" s="112">
        <v>300000</v>
      </c>
      <c r="K516" s="213"/>
      <c r="L516" s="213"/>
      <c r="M516" s="213"/>
      <c r="N516" s="213"/>
      <c r="O516" s="213">
        <v>35000</v>
      </c>
      <c r="P516" s="213">
        <v>265000</v>
      </c>
      <c r="Q516" s="213"/>
      <c r="R516" s="213"/>
      <c r="S516" s="213"/>
      <c r="T516" s="213"/>
      <c r="U516" s="213"/>
      <c r="V516" s="213"/>
      <c r="W516" s="147">
        <v>10833.73</v>
      </c>
      <c r="X516" s="221">
        <f t="shared" si="61"/>
        <v>289166.27</v>
      </c>
    </row>
    <row r="517" spans="2:24" ht="63">
      <c r="B517" s="304"/>
      <c r="C517" s="304"/>
      <c r="D517" s="308"/>
      <c r="E517" s="52" t="s">
        <v>167</v>
      </c>
      <c r="F517" s="113"/>
      <c r="G517" s="115"/>
      <c r="H517" s="239"/>
      <c r="I517" s="268">
        <v>3132</v>
      </c>
      <c r="J517" s="112">
        <v>650000</v>
      </c>
      <c r="K517" s="213"/>
      <c r="L517" s="213"/>
      <c r="M517" s="213"/>
      <c r="N517" s="213"/>
      <c r="O517" s="213">
        <v>650000</v>
      </c>
      <c r="P517" s="213"/>
      <c r="Q517" s="213"/>
      <c r="R517" s="213"/>
      <c r="S517" s="213"/>
      <c r="T517" s="213"/>
      <c r="U517" s="213"/>
      <c r="V517" s="213"/>
      <c r="W517" s="147">
        <f>9702.61+121416</f>
        <v>131118.61</v>
      </c>
      <c r="X517" s="221">
        <f t="shared" si="61"/>
        <v>518881.39</v>
      </c>
    </row>
    <row r="518" spans="2:24" ht="47.25">
      <c r="B518" s="304"/>
      <c r="C518" s="304"/>
      <c r="D518" s="308"/>
      <c r="E518" s="52" t="s">
        <v>234</v>
      </c>
      <c r="F518" s="113"/>
      <c r="G518" s="115"/>
      <c r="H518" s="239"/>
      <c r="I518" s="268">
        <v>3132</v>
      </c>
      <c r="J518" s="21">
        <v>250000</v>
      </c>
      <c r="K518" s="213"/>
      <c r="L518" s="213"/>
      <c r="M518" s="213"/>
      <c r="N518" s="213"/>
      <c r="O518" s="213">
        <v>250000</v>
      </c>
      <c r="P518" s="213"/>
      <c r="Q518" s="213"/>
      <c r="R518" s="213"/>
      <c r="S518" s="213"/>
      <c r="T518" s="213"/>
      <c r="U518" s="213"/>
      <c r="V518" s="213"/>
      <c r="W518" s="147"/>
      <c r="X518" s="221">
        <f t="shared" si="61"/>
        <v>250000</v>
      </c>
    </row>
    <row r="519" spans="2:24" ht="47.25">
      <c r="B519" s="304"/>
      <c r="C519" s="304"/>
      <c r="D519" s="308"/>
      <c r="E519" s="52" t="s">
        <v>235</v>
      </c>
      <c r="F519" s="113"/>
      <c r="G519" s="115"/>
      <c r="H519" s="239"/>
      <c r="I519" s="268">
        <v>3132</v>
      </c>
      <c r="J519" s="21">
        <v>120000</v>
      </c>
      <c r="K519" s="213"/>
      <c r="L519" s="213"/>
      <c r="M519" s="213"/>
      <c r="N519" s="213"/>
      <c r="O519" s="213">
        <v>120000</v>
      </c>
      <c r="P519" s="213"/>
      <c r="Q519" s="213"/>
      <c r="R519" s="213"/>
      <c r="S519" s="213"/>
      <c r="T519" s="213"/>
      <c r="U519" s="213"/>
      <c r="V519" s="213"/>
      <c r="W519" s="147"/>
      <c r="X519" s="221">
        <f t="shared" si="61"/>
        <v>120000</v>
      </c>
    </row>
    <row r="520" spans="2:24" ht="48.75" customHeight="1">
      <c r="B520" s="305"/>
      <c r="C520" s="305"/>
      <c r="D520" s="309"/>
      <c r="E520" s="52" t="s">
        <v>666</v>
      </c>
      <c r="F520" s="113"/>
      <c r="G520" s="115"/>
      <c r="H520" s="239"/>
      <c r="I520" s="268">
        <v>3132</v>
      </c>
      <c r="J520" s="21">
        <v>1120000</v>
      </c>
      <c r="K520" s="213"/>
      <c r="L520" s="213"/>
      <c r="M520" s="213"/>
      <c r="N520" s="213"/>
      <c r="O520" s="213"/>
      <c r="P520" s="213"/>
      <c r="Q520" s="213"/>
      <c r="R520" s="213">
        <f>520000</f>
        <v>520000</v>
      </c>
      <c r="S520" s="213">
        <f>600000</f>
        <v>600000</v>
      </c>
      <c r="T520" s="213"/>
      <c r="U520" s="213"/>
      <c r="V520" s="213"/>
      <c r="W520" s="147"/>
      <c r="X520" s="221">
        <f t="shared" si="61"/>
        <v>520000</v>
      </c>
    </row>
    <row r="521" spans="2:24" ht="31.5">
      <c r="B521" s="306"/>
      <c r="C521" s="306"/>
      <c r="D521" s="310"/>
      <c r="E521" s="52" t="s">
        <v>236</v>
      </c>
      <c r="F521" s="113"/>
      <c r="G521" s="115"/>
      <c r="H521" s="239"/>
      <c r="I521" s="268">
        <v>3132</v>
      </c>
      <c r="J521" s="21">
        <v>600000</v>
      </c>
      <c r="K521" s="213"/>
      <c r="L521" s="213"/>
      <c r="M521" s="213"/>
      <c r="N521" s="213"/>
      <c r="O521" s="213">
        <v>50000</v>
      </c>
      <c r="P521" s="213"/>
      <c r="Q521" s="213"/>
      <c r="R521" s="213"/>
      <c r="S521" s="213">
        <v>440267.79</v>
      </c>
      <c r="T521" s="213">
        <v>109732.21</v>
      </c>
      <c r="U521" s="213"/>
      <c r="V521" s="213"/>
      <c r="W521" s="147"/>
      <c r="X521" s="221">
        <f t="shared" si="61"/>
        <v>50000</v>
      </c>
    </row>
    <row r="522" spans="2:24" ht="15.75">
      <c r="B522" s="317" t="s">
        <v>814</v>
      </c>
      <c r="C522" s="317" t="s">
        <v>353</v>
      </c>
      <c r="D522" s="318" t="s">
        <v>612</v>
      </c>
      <c r="E522" s="29"/>
      <c r="F522" s="14"/>
      <c r="G522" s="18"/>
      <c r="H522" s="240"/>
      <c r="I522" s="268"/>
      <c r="J522" s="220">
        <f>J535+J562+J564+J538+J529+J532+J560+J527+J525+J523</f>
        <v>14452398.7</v>
      </c>
      <c r="K522" s="220">
        <f aca="true" t="shared" si="66" ref="K522:W522">K535+K562+K564+K538+K529+K532+K560+K527+K525+K523</f>
        <v>0</v>
      </c>
      <c r="L522" s="220">
        <f t="shared" si="66"/>
        <v>0</v>
      </c>
      <c r="M522" s="220">
        <f t="shared" si="66"/>
        <v>0</v>
      </c>
      <c r="N522" s="220">
        <f t="shared" si="66"/>
        <v>0</v>
      </c>
      <c r="O522" s="220">
        <f t="shared" si="66"/>
        <v>994424.8</v>
      </c>
      <c r="P522" s="220">
        <f t="shared" si="66"/>
        <v>4409759.9</v>
      </c>
      <c r="Q522" s="220">
        <f t="shared" si="66"/>
        <v>2734800</v>
      </c>
      <c r="R522" s="220">
        <f t="shared" si="66"/>
        <v>1877434</v>
      </c>
      <c r="S522" s="220">
        <f t="shared" si="66"/>
        <v>1846205</v>
      </c>
      <c r="T522" s="220">
        <f t="shared" si="66"/>
        <v>385800</v>
      </c>
      <c r="U522" s="220">
        <f t="shared" si="66"/>
        <v>385800</v>
      </c>
      <c r="V522" s="220">
        <f t="shared" si="66"/>
        <v>1818175</v>
      </c>
      <c r="W522" s="220">
        <f t="shared" si="66"/>
        <v>1456801.4100000001</v>
      </c>
      <c r="X522" s="221">
        <f t="shared" si="61"/>
        <v>8559617.29</v>
      </c>
    </row>
    <row r="523" spans="2:24" ht="31.5">
      <c r="B523" s="317"/>
      <c r="C523" s="317"/>
      <c r="D523" s="318"/>
      <c r="E523" s="119" t="s">
        <v>275</v>
      </c>
      <c r="F523" s="14"/>
      <c r="G523" s="18"/>
      <c r="H523" s="240"/>
      <c r="I523" s="268"/>
      <c r="J523" s="26">
        <f>J524</f>
        <v>18754.7</v>
      </c>
      <c r="K523" s="26">
        <f aca="true" t="shared" si="67" ref="K523:W523">K524</f>
        <v>0</v>
      </c>
      <c r="L523" s="26">
        <f t="shared" si="67"/>
        <v>0</v>
      </c>
      <c r="M523" s="26">
        <f t="shared" si="67"/>
        <v>0</v>
      </c>
      <c r="N523" s="26">
        <f t="shared" si="67"/>
        <v>0</v>
      </c>
      <c r="O523" s="26">
        <f t="shared" si="67"/>
        <v>0</v>
      </c>
      <c r="P523" s="26">
        <f t="shared" si="67"/>
        <v>18754.7</v>
      </c>
      <c r="Q523" s="26">
        <f t="shared" si="67"/>
        <v>0</v>
      </c>
      <c r="R523" s="26">
        <f t="shared" si="67"/>
        <v>0</v>
      </c>
      <c r="S523" s="26">
        <f t="shared" si="67"/>
        <v>0</v>
      </c>
      <c r="T523" s="26">
        <f t="shared" si="67"/>
        <v>0</v>
      </c>
      <c r="U523" s="26">
        <f t="shared" si="67"/>
        <v>0</v>
      </c>
      <c r="V523" s="26">
        <f t="shared" si="67"/>
        <v>0</v>
      </c>
      <c r="W523" s="26">
        <f t="shared" si="67"/>
        <v>0</v>
      </c>
      <c r="X523" s="221">
        <f t="shared" si="61"/>
        <v>18754.7</v>
      </c>
    </row>
    <row r="524" spans="2:24" ht="47.25">
      <c r="B524" s="317"/>
      <c r="C524" s="317"/>
      <c r="D524" s="318"/>
      <c r="E524" s="10" t="s">
        <v>276</v>
      </c>
      <c r="F524" s="14"/>
      <c r="G524" s="18"/>
      <c r="H524" s="240"/>
      <c r="I524" s="268">
        <v>3210</v>
      </c>
      <c r="J524" s="9">
        <v>18754.7</v>
      </c>
      <c r="K524" s="9"/>
      <c r="L524" s="9"/>
      <c r="M524" s="9"/>
      <c r="N524" s="9"/>
      <c r="O524" s="9"/>
      <c r="P524" s="9">
        <v>18754.7</v>
      </c>
      <c r="Q524" s="9"/>
      <c r="R524" s="9"/>
      <c r="S524" s="9"/>
      <c r="T524" s="9"/>
      <c r="U524" s="9"/>
      <c r="V524" s="9"/>
      <c r="W524" s="9"/>
      <c r="X524" s="221">
        <f t="shared" si="61"/>
        <v>18754.7</v>
      </c>
    </row>
    <row r="525" spans="2:24" ht="31.5">
      <c r="B525" s="317"/>
      <c r="C525" s="317"/>
      <c r="D525" s="318"/>
      <c r="E525" s="123" t="s">
        <v>269</v>
      </c>
      <c r="F525" s="14"/>
      <c r="G525" s="18"/>
      <c r="H525" s="240"/>
      <c r="I525" s="268"/>
      <c r="J525" s="26">
        <f>J526</f>
        <v>400000</v>
      </c>
      <c r="K525" s="26">
        <f aca="true" t="shared" si="68" ref="K525:W525">K526</f>
        <v>0</v>
      </c>
      <c r="L525" s="26">
        <f t="shared" si="68"/>
        <v>0</v>
      </c>
      <c r="M525" s="26">
        <f t="shared" si="68"/>
        <v>0</v>
      </c>
      <c r="N525" s="26">
        <f t="shared" si="68"/>
        <v>0</v>
      </c>
      <c r="O525" s="26">
        <f t="shared" si="68"/>
        <v>0</v>
      </c>
      <c r="P525" s="26">
        <f t="shared" si="68"/>
        <v>0</v>
      </c>
      <c r="Q525" s="26">
        <f t="shared" si="68"/>
        <v>0</v>
      </c>
      <c r="R525" s="26">
        <f t="shared" si="68"/>
        <v>400000</v>
      </c>
      <c r="S525" s="26">
        <f t="shared" si="68"/>
        <v>0</v>
      </c>
      <c r="T525" s="26">
        <f t="shared" si="68"/>
        <v>0</v>
      </c>
      <c r="U525" s="26">
        <f t="shared" si="68"/>
        <v>0</v>
      </c>
      <c r="V525" s="26">
        <f t="shared" si="68"/>
        <v>0</v>
      </c>
      <c r="W525" s="26">
        <f t="shared" si="68"/>
        <v>0</v>
      </c>
      <c r="X525" s="221">
        <f t="shared" si="61"/>
        <v>400000</v>
      </c>
    </row>
    <row r="526" spans="2:24" ht="15.75">
      <c r="B526" s="317"/>
      <c r="C526" s="317"/>
      <c r="D526" s="318"/>
      <c r="E526" s="12" t="s">
        <v>270</v>
      </c>
      <c r="F526" s="14"/>
      <c r="G526" s="18"/>
      <c r="H526" s="240"/>
      <c r="I526" s="268">
        <v>3210</v>
      </c>
      <c r="J526" s="9">
        <v>400000</v>
      </c>
      <c r="K526" s="9"/>
      <c r="L526" s="9"/>
      <c r="M526" s="9"/>
      <c r="N526" s="9"/>
      <c r="O526" s="9"/>
      <c r="P526" s="9"/>
      <c r="Q526" s="9"/>
      <c r="R526" s="9">
        <v>400000</v>
      </c>
      <c r="S526" s="9"/>
      <c r="T526" s="9"/>
      <c r="U526" s="9"/>
      <c r="V526" s="9"/>
      <c r="W526" s="9"/>
      <c r="X526" s="221">
        <f t="shared" si="61"/>
        <v>400000</v>
      </c>
    </row>
    <row r="527" spans="2:24" ht="31.5">
      <c r="B527" s="317"/>
      <c r="C527" s="317"/>
      <c r="D527" s="318"/>
      <c r="E527" s="116" t="s">
        <v>168</v>
      </c>
      <c r="F527" s="37"/>
      <c r="G527" s="84"/>
      <c r="H527" s="242"/>
      <c r="I527" s="269"/>
      <c r="J527" s="117">
        <f>J528</f>
        <v>1600000</v>
      </c>
      <c r="K527" s="117">
        <f aca="true" t="shared" si="69" ref="K527:W527">K528</f>
        <v>0</v>
      </c>
      <c r="L527" s="117">
        <f t="shared" si="69"/>
        <v>0</v>
      </c>
      <c r="M527" s="117">
        <f t="shared" si="69"/>
        <v>0</v>
      </c>
      <c r="N527" s="117">
        <f t="shared" si="69"/>
        <v>0</v>
      </c>
      <c r="O527" s="117">
        <f t="shared" si="69"/>
        <v>0</v>
      </c>
      <c r="P527" s="117">
        <f t="shared" si="69"/>
        <v>50000</v>
      </c>
      <c r="Q527" s="117">
        <f t="shared" si="69"/>
        <v>310000</v>
      </c>
      <c r="R527" s="117">
        <f t="shared" si="69"/>
        <v>310000</v>
      </c>
      <c r="S527" s="117">
        <f t="shared" si="69"/>
        <v>310000</v>
      </c>
      <c r="T527" s="117">
        <f t="shared" si="69"/>
        <v>310000</v>
      </c>
      <c r="U527" s="117">
        <f t="shared" si="69"/>
        <v>310000</v>
      </c>
      <c r="V527" s="117">
        <f t="shared" si="69"/>
        <v>0</v>
      </c>
      <c r="W527" s="117">
        <f t="shared" si="69"/>
        <v>360000</v>
      </c>
      <c r="X527" s="221">
        <f t="shared" si="61"/>
        <v>310000</v>
      </c>
    </row>
    <row r="528" spans="2:24" ht="63">
      <c r="B528" s="317"/>
      <c r="C528" s="317"/>
      <c r="D528" s="318"/>
      <c r="E528" s="29" t="s">
        <v>207</v>
      </c>
      <c r="F528" s="14"/>
      <c r="G528" s="18"/>
      <c r="H528" s="240"/>
      <c r="I528" s="268">
        <v>3210</v>
      </c>
      <c r="J528" s="9">
        <v>1600000</v>
      </c>
      <c r="K528" s="147"/>
      <c r="L528" s="147"/>
      <c r="M528" s="147"/>
      <c r="N528" s="147"/>
      <c r="O528" s="147"/>
      <c r="P528" s="147">
        <v>50000</v>
      </c>
      <c r="Q528" s="147">
        <v>310000</v>
      </c>
      <c r="R528" s="147">
        <v>310000</v>
      </c>
      <c r="S528" s="147">
        <v>310000</v>
      </c>
      <c r="T528" s="147">
        <v>310000</v>
      </c>
      <c r="U528" s="147">
        <v>310000</v>
      </c>
      <c r="V528" s="147"/>
      <c r="W528" s="147">
        <f>360000</f>
        <v>360000</v>
      </c>
      <c r="X528" s="221">
        <f t="shared" si="61"/>
        <v>310000</v>
      </c>
    </row>
    <row r="529" spans="2:24" ht="31.5">
      <c r="B529" s="317"/>
      <c r="C529" s="317"/>
      <c r="D529" s="318"/>
      <c r="E529" s="116" t="s">
        <v>169</v>
      </c>
      <c r="F529" s="14"/>
      <c r="G529" s="18"/>
      <c r="H529" s="240"/>
      <c r="I529" s="268"/>
      <c r="J529" s="26">
        <f>SUM(J530:J531)</f>
        <v>78800</v>
      </c>
      <c r="K529" s="26">
        <f aca="true" t="shared" si="70" ref="K529:W529">SUM(K530:K531)</f>
        <v>0</v>
      </c>
      <c r="L529" s="26">
        <f t="shared" si="70"/>
        <v>0</v>
      </c>
      <c r="M529" s="26">
        <f t="shared" si="70"/>
        <v>0</v>
      </c>
      <c r="N529" s="26">
        <f t="shared" si="70"/>
        <v>0</v>
      </c>
      <c r="O529" s="26">
        <f t="shared" si="70"/>
        <v>0</v>
      </c>
      <c r="P529" s="26">
        <f t="shared" si="70"/>
        <v>0</v>
      </c>
      <c r="Q529" s="26">
        <f t="shared" si="70"/>
        <v>78800</v>
      </c>
      <c r="R529" s="26">
        <f t="shared" si="70"/>
        <v>0</v>
      </c>
      <c r="S529" s="26">
        <f t="shared" si="70"/>
        <v>0</v>
      </c>
      <c r="T529" s="26">
        <f t="shared" si="70"/>
        <v>0</v>
      </c>
      <c r="U529" s="26">
        <f t="shared" si="70"/>
        <v>0</v>
      </c>
      <c r="V529" s="26">
        <f t="shared" si="70"/>
        <v>0</v>
      </c>
      <c r="W529" s="26">
        <f t="shared" si="70"/>
        <v>0</v>
      </c>
      <c r="X529" s="221">
        <f t="shared" si="61"/>
        <v>78800</v>
      </c>
    </row>
    <row r="530" spans="2:24" ht="47.25">
      <c r="B530" s="317"/>
      <c r="C530" s="317"/>
      <c r="D530" s="318"/>
      <c r="E530" s="10" t="s">
        <v>170</v>
      </c>
      <c r="F530" s="14"/>
      <c r="G530" s="18"/>
      <c r="H530" s="240"/>
      <c r="I530" s="268">
        <v>3210</v>
      </c>
      <c r="J530" s="21">
        <v>39400</v>
      </c>
      <c r="K530" s="147"/>
      <c r="L530" s="147"/>
      <c r="M530" s="147"/>
      <c r="N530" s="147"/>
      <c r="O530" s="147"/>
      <c r="P530" s="147"/>
      <c r="Q530" s="147">
        <v>39400</v>
      </c>
      <c r="R530" s="147"/>
      <c r="S530" s="147"/>
      <c r="T530" s="147"/>
      <c r="U530" s="147"/>
      <c r="V530" s="147"/>
      <c r="W530" s="147"/>
      <c r="X530" s="221">
        <f t="shared" si="61"/>
        <v>39400</v>
      </c>
    </row>
    <row r="531" spans="2:24" ht="47.25">
      <c r="B531" s="317"/>
      <c r="C531" s="317"/>
      <c r="D531" s="318"/>
      <c r="E531" s="118" t="s">
        <v>171</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1"/>
        <v>39400</v>
      </c>
    </row>
    <row r="532" spans="2:24" ht="31.5">
      <c r="B532" s="317"/>
      <c r="C532" s="317"/>
      <c r="D532" s="318"/>
      <c r="E532" s="119" t="s">
        <v>172</v>
      </c>
      <c r="F532" s="14"/>
      <c r="G532" s="18"/>
      <c r="H532" s="240"/>
      <c r="I532" s="268"/>
      <c r="J532" s="77">
        <f>SUM(J533:J534)</f>
        <v>254434</v>
      </c>
      <c r="K532" s="77">
        <f aca="true" t="shared" si="71" ref="K532:W532">SUM(K533:K534)</f>
        <v>0</v>
      </c>
      <c r="L532" s="77">
        <f t="shared" si="71"/>
        <v>0</v>
      </c>
      <c r="M532" s="77">
        <f t="shared" si="71"/>
        <v>0</v>
      </c>
      <c r="N532" s="77">
        <f t="shared" si="71"/>
        <v>0</v>
      </c>
      <c r="O532" s="77">
        <f t="shared" si="71"/>
        <v>0</v>
      </c>
      <c r="P532" s="77">
        <f t="shared" si="71"/>
        <v>0</v>
      </c>
      <c r="Q532" s="77">
        <f t="shared" si="71"/>
        <v>0</v>
      </c>
      <c r="R532" s="77">
        <f t="shared" si="71"/>
        <v>26934</v>
      </c>
      <c r="S532" s="77">
        <f t="shared" si="71"/>
        <v>75900</v>
      </c>
      <c r="T532" s="77">
        <f t="shared" si="71"/>
        <v>75800</v>
      </c>
      <c r="U532" s="77">
        <f t="shared" si="71"/>
        <v>75800</v>
      </c>
      <c r="V532" s="77">
        <f t="shared" si="71"/>
        <v>0</v>
      </c>
      <c r="W532" s="77">
        <f t="shared" si="71"/>
        <v>0</v>
      </c>
      <c r="X532" s="221">
        <f t="shared" si="61"/>
        <v>26934</v>
      </c>
    </row>
    <row r="533" spans="2:24" ht="63">
      <c r="B533" s="317"/>
      <c r="C533" s="317"/>
      <c r="D533" s="318"/>
      <c r="E533" s="10" t="s">
        <v>670</v>
      </c>
      <c r="F533" s="14"/>
      <c r="G533" s="18"/>
      <c r="H533" s="240"/>
      <c r="I533" s="268">
        <v>3210</v>
      </c>
      <c r="J533" s="21">
        <v>240000</v>
      </c>
      <c r="K533" s="147"/>
      <c r="L533" s="147"/>
      <c r="M533" s="147"/>
      <c r="N533" s="147"/>
      <c r="O533" s="147"/>
      <c r="P533" s="147"/>
      <c r="Q533" s="147"/>
      <c r="R533" s="147">
        <v>12500</v>
      </c>
      <c r="S533" s="147">
        <v>75900</v>
      </c>
      <c r="T533" s="147">
        <v>75800</v>
      </c>
      <c r="U533" s="147">
        <v>75800</v>
      </c>
      <c r="V533" s="147"/>
      <c r="W533" s="147"/>
      <c r="X533" s="221">
        <f t="shared" si="61"/>
        <v>12500</v>
      </c>
    </row>
    <row r="534" spans="2:24" ht="31.5">
      <c r="B534" s="317"/>
      <c r="C534" s="317"/>
      <c r="D534" s="318"/>
      <c r="E534" s="10" t="s">
        <v>210</v>
      </c>
      <c r="F534" s="14"/>
      <c r="G534" s="18"/>
      <c r="H534" s="240"/>
      <c r="I534" s="268">
        <v>3210</v>
      </c>
      <c r="J534" s="21">
        <v>14434</v>
      </c>
      <c r="K534" s="211"/>
      <c r="L534" s="211"/>
      <c r="M534" s="211"/>
      <c r="N534" s="211"/>
      <c r="O534" s="211"/>
      <c r="P534" s="211"/>
      <c r="Q534" s="211"/>
      <c r="R534" s="211">
        <v>14434</v>
      </c>
      <c r="S534" s="211"/>
      <c r="T534" s="211"/>
      <c r="U534" s="211"/>
      <c r="V534" s="211"/>
      <c r="W534" s="147"/>
      <c r="X534" s="221">
        <f aca="true" t="shared" si="72" ref="X534:X602">K534+L534+M534+N534+O534+P534+Q534+R534-W534</f>
        <v>14434</v>
      </c>
    </row>
    <row r="535" spans="2:24" ht="31.5">
      <c r="B535" s="317"/>
      <c r="C535" s="317"/>
      <c r="D535" s="318"/>
      <c r="E535" s="39" t="s">
        <v>701</v>
      </c>
      <c r="F535" s="120"/>
      <c r="G535" s="120"/>
      <c r="H535" s="243"/>
      <c r="I535" s="268"/>
      <c r="J535" s="40">
        <f>SUM(J536:J537)</f>
        <v>450000</v>
      </c>
      <c r="K535" s="40">
        <f aca="true" t="shared" si="73" ref="K535:W535">SUM(K536:K537)</f>
        <v>0</v>
      </c>
      <c r="L535" s="40">
        <f t="shared" si="73"/>
        <v>0</v>
      </c>
      <c r="M535" s="40">
        <f t="shared" si="73"/>
        <v>0</v>
      </c>
      <c r="N535" s="40">
        <f t="shared" si="73"/>
        <v>0</v>
      </c>
      <c r="O535" s="40">
        <f t="shared" si="73"/>
        <v>207124.8</v>
      </c>
      <c r="P535" s="40">
        <f t="shared" si="73"/>
        <v>242875.2</v>
      </c>
      <c r="Q535" s="40">
        <f t="shared" si="73"/>
        <v>0</v>
      </c>
      <c r="R535" s="40">
        <f t="shared" si="73"/>
        <v>0</v>
      </c>
      <c r="S535" s="40">
        <f t="shared" si="73"/>
        <v>0</v>
      </c>
      <c r="T535" s="40">
        <f t="shared" si="73"/>
        <v>0</v>
      </c>
      <c r="U535" s="40">
        <f t="shared" si="73"/>
        <v>0</v>
      </c>
      <c r="V535" s="40">
        <f t="shared" si="73"/>
        <v>0</v>
      </c>
      <c r="W535" s="40">
        <f t="shared" si="73"/>
        <v>132124.8</v>
      </c>
      <c r="X535" s="221">
        <f t="shared" si="72"/>
        <v>317875.2</v>
      </c>
    </row>
    <row r="536" spans="2:24" ht="31.5">
      <c r="B536" s="317"/>
      <c r="C536" s="317"/>
      <c r="D536" s="318"/>
      <c r="E536" s="121" t="s">
        <v>702</v>
      </c>
      <c r="F536" s="113"/>
      <c r="G536" s="109"/>
      <c r="H536" s="244"/>
      <c r="I536" s="268">
        <v>3210</v>
      </c>
      <c r="J536" s="122">
        <v>300000</v>
      </c>
      <c r="K536" s="147"/>
      <c r="L536" s="147"/>
      <c r="M536" s="147"/>
      <c r="N536" s="147"/>
      <c r="O536" s="147">
        <v>132124.8</v>
      </c>
      <c r="P536" s="147">
        <v>167875.2</v>
      </c>
      <c r="Q536" s="147"/>
      <c r="R536" s="147"/>
      <c r="S536" s="147"/>
      <c r="T536" s="147"/>
      <c r="U536" s="147"/>
      <c r="V536" s="147"/>
      <c r="W536" s="147">
        <v>132124.8</v>
      </c>
      <c r="X536" s="221">
        <f t="shared" si="72"/>
        <v>167875.2</v>
      </c>
    </row>
    <row r="537" spans="2:24" ht="63">
      <c r="B537" s="317"/>
      <c r="C537" s="317"/>
      <c r="D537" s="318"/>
      <c r="E537" s="12" t="s">
        <v>703</v>
      </c>
      <c r="F537" s="113"/>
      <c r="G537" s="109"/>
      <c r="H537" s="245"/>
      <c r="I537" s="268">
        <v>3210</v>
      </c>
      <c r="J537" s="21">
        <v>150000</v>
      </c>
      <c r="K537" s="147"/>
      <c r="L537" s="147"/>
      <c r="M537" s="147"/>
      <c r="N537" s="147"/>
      <c r="O537" s="147">
        <v>75000</v>
      </c>
      <c r="P537" s="147">
        <v>75000</v>
      </c>
      <c r="Q537" s="147"/>
      <c r="R537" s="147"/>
      <c r="S537" s="147"/>
      <c r="T537" s="147"/>
      <c r="U537" s="147"/>
      <c r="V537" s="147"/>
      <c r="W537" s="147"/>
      <c r="X537" s="221">
        <f t="shared" si="72"/>
        <v>150000</v>
      </c>
    </row>
    <row r="538" spans="2:24" ht="31.5">
      <c r="B538" s="317"/>
      <c r="C538" s="317"/>
      <c r="D538" s="318"/>
      <c r="E538" s="123" t="s">
        <v>704</v>
      </c>
      <c r="F538" s="124"/>
      <c r="G538" s="125"/>
      <c r="H538" s="246"/>
      <c r="I538" s="268"/>
      <c r="J538" s="77">
        <f>SUM(J539:J559)</f>
        <v>10375380</v>
      </c>
      <c r="K538" s="77">
        <f aca="true" t="shared" si="74" ref="K538:W538">SUM(K539:K559)</f>
        <v>0</v>
      </c>
      <c r="L538" s="77">
        <f t="shared" si="74"/>
        <v>0</v>
      </c>
      <c r="M538" s="77">
        <f t="shared" si="74"/>
        <v>0</v>
      </c>
      <c r="N538" s="77">
        <f t="shared" si="74"/>
        <v>0</v>
      </c>
      <c r="O538" s="77">
        <f>SUM(O539:O559)</f>
        <v>506100</v>
      </c>
      <c r="P538" s="77">
        <f t="shared" si="74"/>
        <v>3754300</v>
      </c>
      <c r="Q538" s="77">
        <f t="shared" si="74"/>
        <v>1846000</v>
      </c>
      <c r="R538" s="77">
        <f t="shared" si="74"/>
        <v>990500</v>
      </c>
      <c r="S538" s="77">
        <f t="shared" si="74"/>
        <v>1460305</v>
      </c>
      <c r="T538" s="77">
        <f t="shared" si="74"/>
        <v>0</v>
      </c>
      <c r="U538" s="77">
        <f t="shared" si="74"/>
        <v>0</v>
      </c>
      <c r="V538" s="77">
        <f t="shared" si="74"/>
        <v>1818175</v>
      </c>
      <c r="W538" s="77">
        <f t="shared" si="74"/>
        <v>964676.6100000001</v>
      </c>
      <c r="X538" s="221">
        <f t="shared" si="72"/>
        <v>6132223.39</v>
      </c>
    </row>
    <row r="539" spans="2:24" ht="63">
      <c r="B539" s="317"/>
      <c r="C539" s="317"/>
      <c r="D539" s="318"/>
      <c r="E539" s="12" t="s">
        <v>177</v>
      </c>
      <c r="F539" s="12"/>
      <c r="G539" s="12"/>
      <c r="H539" s="247"/>
      <c r="I539" s="268">
        <v>3210</v>
      </c>
      <c r="J539" s="21">
        <v>250000</v>
      </c>
      <c r="K539" s="147"/>
      <c r="L539" s="147"/>
      <c r="M539" s="147"/>
      <c r="N539" s="147"/>
      <c r="O539" s="147"/>
      <c r="P539" s="147"/>
      <c r="Q539" s="147">
        <v>250000</v>
      </c>
      <c r="R539" s="147"/>
      <c r="S539" s="147"/>
      <c r="T539" s="147"/>
      <c r="U539" s="147"/>
      <c r="V539" s="147"/>
      <c r="W539" s="147"/>
      <c r="X539" s="221">
        <f t="shared" si="72"/>
        <v>250000</v>
      </c>
    </row>
    <row r="540" spans="2:24" ht="78.75">
      <c r="B540" s="317"/>
      <c r="C540" s="317"/>
      <c r="D540" s="318"/>
      <c r="E540" s="12" t="s">
        <v>209</v>
      </c>
      <c r="F540" s="12"/>
      <c r="G540" s="12"/>
      <c r="H540" s="247"/>
      <c r="I540" s="268">
        <v>3210</v>
      </c>
      <c r="J540" s="21">
        <f>700000+100000</f>
        <v>800000</v>
      </c>
      <c r="K540" s="147"/>
      <c r="L540" s="147"/>
      <c r="M540" s="147"/>
      <c r="N540" s="147"/>
      <c r="O540" s="147"/>
      <c r="P540" s="147">
        <v>700000</v>
      </c>
      <c r="Q540" s="147"/>
      <c r="R540" s="147">
        <f>100000</f>
        <v>100000</v>
      </c>
      <c r="S540" s="147"/>
      <c r="T540" s="147"/>
      <c r="U540" s="147"/>
      <c r="V540" s="147"/>
      <c r="W540" s="147"/>
      <c r="X540" s="221">
        <f t="shared" si="72"/>
        <v>800000</v>
      </c>
    </row>
    <row r="541" spans="2:24" ht="47.25">
      <c r="B541" s="317"/>
      <c r="C541" s="317"/>
      <c r="D541" s="318"/>
      <c r="E541" s="24" t="s">
        <v>212</v>
      </c>
      <c r="F541" s="109"/>
      <c r="G541" s="109"/>
      <c r="H541" s="241"/>
      <c r="I541" s="268">
        <v>3210</v>
      </c>
      <c r="J541" s="21">
        <v>89480</v>
      </c>
      <c r="K541" s="147"/>
      <c r="L541" s="147"/>
      <c r="M541" s="147"/>
      <c r="N541" s="147"/>
      <c r="O541" s="147"/>
      <c r="P541" s="147"/>
      <c r="Q541" s="147"/>
      <c r="R541" s="147"/>
      <c r="S541" s="147">
        <v>89480</v>
      </c>
      <c r="T541" s="147"/>
      <c r="U541" s="147"/>
      <c r="V541" s="147"/>
      <c r="W541" s="147"/>
      <c r="X541" s="221">
        <f t="shared" si="72"/>
        <v>0</v>
      </c>
    </row>
    <row r="542" spans="2:24" ht="63">
      <c r="B542" s="317"/>
      <c r="C542" s="317"/>
      <c r="D542" s="318"/>
      <c r="E542" s="24" t="s">
        <v>213</v>
      </c>
      <c r="F542" s="109"/>
      <c r="G542" s="109"/>
      <c r="H542" s="241"/>
      <c r="I542" s="268">
        <v>3210</v>
      </c>
      <c r="J542" s="21">
        <v>289000</v>
      </c>
      <c r="K542" s="147"/>
      <c r="L542" s="147"/>
      <c r="M542" s="147"/>
      <c r="N542" s="147"/>
      <c r="O542" s="147"/>
      <c r="P542" s="147"/>
      <c r="Q542" s="147"/>
      <c r="R542" s="147"/>
      <c r="S542" s="147">
        <v>289000</v>
      </c>
      <c r="T542" s="147"/>
      <c r="U542" s="147"/>
      <c r="V542" s="147"/>
      <c r="W542" s="147"/>
      <c r="X542" s="221">
        <f t="shared" si="72"/>
        <v>0</v>
      </c>
    </row>
    <row r="543" spans="2:24" ht="47.25">
      <c r="B543" s="317"/>
      <c r="C543" s="317"/>
      <c r="D543" s="318"/>
      <c r="E543" s="12" t="s">
        <v>214</v>
      </c>
      <c r="F543" s="109"/>
      <c r="G543" s="106"/>
      <c r="H543" s="241"/>
      <c r="I543" s="268">
        <v>3210</v>
      </c>
      <c r="J543" s="21">
        <v>380000</v>
      </c>
      <c r="K543" s="147"/>
      <c r="L543" s="147"/>
      <c r="M543" s="147"/>
      <c r="N543" s="147"/>
      <c r="O543" s="147"/>
      <c r="P543" s="147"/>
      <c r="Q543" s="147">
        <v>380000</v>
      </c>
      <c r="R543" s="147"/>
      <c r="S543" s="147"/>
      <c r="T543" s="147"/>
      <c r="U543" s="147"/>
      <c r="V543" s="147"/>
      <c r="W543" s="147"/>
      <c r="X543" s="221">
        <f t="shared" si="72"/>
        <v>380000</v>
      </c>
    </row>
    <row r="544" spans="2:24" ht="63">
      <c r="B544" s="317"/>
      <c r="C544" s="317"/>
      <c r="D544" s="318"/>
      <c r="E544" s="24" t="s">
        <v>370</v>
      </c>
      <c r="F544" s="109"/>
      <c r="G544" s="109"/>
      <c r="H544" s="241"/>
      <c r="I544" s="268">
        <v>3210</v>
      </c>
      <c r="J544" s="21">
        <v>170000</v>
      </c>
      <c r="K544" s="147"/>
      <c r="L544" s="147"/>
      <c r="M544" s="147"/>
      <c r="N544" s="147"/>
      <c r="O544" s="147"/>
      <c r="P544" s="147"/>
      <c r="Q544" s="147">
        <v>170000</v>
      </c>
      <c r="R544" s="147"/>
      <c r="S544" s="147"/>
      <c r="T544" s="147"/>
      <c r="U544" s="147"/>
      <c r="V544" s="147"/>
      <c r="W544" s="147">
        <f>6572.56</f>
        <v>6572.56</v>
      </c>
      <c r="X544" s="221">
        <f t="shared" si="72"/>
        <v>163427.44</v>
      </c>
    </row>
    <row r="545" spans="2:24" ht="47.25">
      <c r="B545" s="317"/>
      <c r="C545" s="317"/>
      <c r="D545" s="318"/>
      <c r="E545" s="24" t="s">
        <v>371</v>
      </c>
      <c r="F545" s="109"/>
      <c r="G545" s="109"/>
      <c r="H545" s="241"/>
      <c r="I545" s="268">
        <v>3210</v>
      </c>
      <c r="J545" s="21">
        <v>100000</v>
      </c>
      <c r="K545" s="147"/>
      <c r="L545" s="147"/>
      <c r="M545" s="147"/>
      <c r="N545" s="147"/>
      <c r="O545" s="147">
        <v>100000</v>
      </c>
      <c r="P545" s="147"/>
      <c r="Q545" s="147"/>
      <c r="R545" s="147"/>
      <c r="S545" s="147"/>
      <c r="T545" s="147"/>
      <c r="U545" s="147"/>
      <c r="V545" s="147"/>
      <c r="W545" s="147"/>
      <c r="X545" s="221">
        <f t="shared" si="72"/>
        <v>100000</v>
      </c>
    </row>
    <row r="546" spans="2:24" ht="47.25">
      <c r="B546" s="317"/>
      <c r="C546" s="317"/>
      <c r="D546" s="318"/>
      <c r="E546" s="24" t="s">
        <v>372</v>
      </c>
      <c r="F546" s="109"/>
      <c r="G546" s="109"/>
      <c r="H546" s="241"/>
      <c r="I546" s="268">
        <v>3210</v>
      </c>
      <c r="J546" s="21">
        <v>500000</v>
      </c>
      <c r="K546" s="147"/>
      <c r="L546" s="147"/>
      <c r="M546" s="147"/>
      <c r="N546" s="147"/>
      <c r="O546" s="147"/>
      <c r="P546" s="147"/>
      <c r="Q546" s="147"/>
      <c r="R546" s="147">
        <v>500000</v>
      </c>
      <c r="S546" s="147"/>
      <c r="T546" s="147"/>
      <c r="U546" s="147"/>
      <c r="V546" s="147"/>
      <c r="W546" s="147"/>
      <c r="X546" s="221">
        <f t="shared" si="72"/>
        <v>500000</v>
      </c>
    </row>
    <row r="547" spans="2:24" ht="63">
      <c r="B547" s="317"/>
      <c r="C547" s="317"/>
      <c r="D547" s="318"/>
      <c r="E547" s="24" t="s">
        <v>373</v>
      </c>
      <c r="F547" s="109"/>
      <c r="G547" s="109"/>
      <c r="H547" s="241"/>
      <c r="I547" s="268">
        <v>3210</v>
      </c>
      <c r="J547" s="21">
        <f>1844000-151000</f>
        <v>1693000</v>
      </c>
      <c r="K547" s="147"/>
      <c r="L547" s="147"/>
      <c r="M547" s="147"/>
      <c r="N547" s="147"/>
      <c r="O547" s="147"/>
      <c r="P547" s="147">
        <v>1844000</v>
      </c>
      <c r="Q547" s="147"/>
      <c r="R547" s="147">
        <f>-151000</f>
        <v>-151000</v>
      </c>
      <c r="S547" s="147"/>
      <c r="T547" s="147"/>
      <c r="U547" s="147"/>
      <c r="V547" s="147"/>
      <c r="W547" s="147"/>
      <c r="X547" s="221">
        <f t="shared" si="72"/>
        <v>1693000</v>
      </c>
    </row>
    <row r="548" spans="2:24" ht="63">
      <c r="B548" s="317"/>
      <c r="C548" s="317"/>
      <c r="D548" s="318"/>
      <c r="E548" s="24" t="s">
        <v>396</v>
      </c>
      <c r="F548" s="109"/>
      <c r="G548" s="109"/>
      <c r="H548" s="241"/>
      <c r="I548" s="268">
        <v>3210</v>
      </c>
      <c r="J548" s="21">
        <v>1046000</v>
      </c>
      <c r="K548" s="147"/>
      <c r="L548" s="147"/>
      <c r="M548" s="147"/>
      <c r="N548" s="147"/>
      <c r="O548" s="147"/>
      <c r="P548" s="147"/>
      <c r="Q548" s="147">
        <v>1046000</v>
      </c>
      <c r="R548" s="147"/>
      <c r="S548" s="147"/>
      <c r="T548" s="147"/>
      <c r="U548" s="147"/>
      <c r="V548" s="147"/>
      <c r="W548" s="147"/>
      <c r="X548" s="221">
        <f t="shared" si="72"/>
        <v>1046000</v>
      </c>
    </row>
    <row r="549" spans="2:24" ht="63">
      <c r="B549" s="317"/>
      <c r="C549" s="317"/>
      <c r="D549" s="318"/>
      <c r="E549" s="24" t="s">
        <v>752</v>
      </c>
      <c r="F549" s="109"/>
      <c r="G549" s="109"/>
      <c r="H549" s="241"/>
      <c r="I549" s="268">
        <v>3210</v>
      </c>
      <c r="J549" s="21">
        <v>2900000</v>
      </c>
      <c r="K549" s="147"/>
      <c r="L549" s="147"/>
      <c r="M549" s="147"/>
      <c r="N549" s="147"/>
      <c r="O549" s="147"/>
      <c r="P549" s="147"/>
      <c r="Q549" s="147"/>
      <c r="R549" s="147"/>
      <c r="S549" s="147">
        <f>2900000-1818175</f>
        <v>1081825</v>
      </c>
      <c r="T549" s="147"/>
      <c r="U549" s="147"/>
      <c r="V549" s="147">
        <v>1818175</v>
      </c>
      <c r="W549" s="147"/>
      <c r="X549" s="221">
        <f t="shared" si="72"/>
        <v>0</v>
      </c>
    </row>
    <row r="550" spans="2:24" ht="31.5">
      <c r="B550" s="317"/>
      <c r="C550" s="317"/>
      <c r="D550" s="318"/>
      <c r="E550" s="12" t="s">
        <v>753</v>
      </c>
      <c r="F550" s="109"/>
      <c r="G550" s="109"/>
      <c r="H550" s="241"/>
      <c r="I550" s="268">
        <v>3210</v>
      </c>
      <c r="J550" s="21">
        <v>110000</v>
      </c>
      <c r="K550" s="147"/>
      <c r="L550" s="147"/>
      <c r="M550" s="147"/>
      <c r="N550" s="147"/>
      <c r="O550" s="147">
        <v>110000</v>
      </c>
      <c r="P550" s="147"/>
      <c r="Q550" s="147"/>
      <c r="R550" s="147"/>
      <c r="S550" s="147"/>
      <c r="T550" s="147"/>
      <c r="U550" s="147"/>
      <c r="V550" s="147"/>
      <c r="W550" s="147"/>
      <c r="X550" s="221">
        <f t="shared" si="72"/>
        <v>110000</v>
      </c>
    </row>
    <row r="551" spans="2:24" ht="47.25">
      <c r="B551" s="317"/>
      <c r="C551" s="317"/>
      <c r="D551" s="318"/>
      <c r="E551" s="126" t="s">
        <v>754</v>
      </c>
      <c r="F551" s="109"/>
      <c r="G551" s="109"/>
      <c r="H551" s="241"/>
      <c r="I551" s="268">
        <v>3210</v>
      </c>
      <c r="J551" s="21">
        <v>35000</v>
      </c>
      <c r="K551" s="147"/>
      <c r="L551" s="147"/>
      <c r="M551" s="147"/>
      <c r="N551" s="147"/>
      <c r="O551" s="147">
        <v>35000</v>
      </c>
      <c r="P551" s="147"/>
      <c r="Q551" s="147"/>
      <c r="R551" s="147"/>
      <c r="S551" s="147"/>
      <c r="T551" s="147"/>
      <c r="U551" s="147"/>
      <c r="V551" s="147"/>
      <c r="W551" s="147"/>
      <c r="X551" s="221">
        <f t="shared" si="72"/>
        <v>35000</v>
      </c>
    </row>
    <row r="552" spans="2:24" ht="47.25">
      <c r="B552" s="317"/>
      <c r="C552" s="317"/>
      <c r="D552" s="318"/>
      <c r="E552" s="108" t="s">
        <v>755</v>
      </c>
      <c r="F552" s="109"/>
      <c r="G552" s="109"/>
      <c r="H552" s="241"/>
      <c r="I552" s="268">
        <v>3210</v>
      </c>
      <c r="J552" s="21">
        <v>67700</v>
      </c>
      <c r="K552" s="147"/>
      <c r="L552" s="147"/>
      <c r="M552" s="147"/>
      <c r="N552" s="147"/>
      <c r="O552" s="147"/>
      <c r="P552" s="147"/>
      <c r="Q552" s="147"/>
      <c r="R552" s="147">
        <v>67700</v>
      </c>
      <c r="S552" s="147"/>
      <c r="T552" s="147"/>
      <c r="U552" s="147"/>
      <c r="V552" s="147"/>
      <c r="W552" s="147"/>
      <c r="X552" s="221">
        <f t="shared" si="72"/>
        <v>67700</v>
      </c>
    </row>
    <row r="553" spans="2:24" ht="47.25">
      <c r="B553" s="317"/>
      <c r="C553" s="317"/>
      <c r="D553" s="318"/>
      <c r="E553" s="108" t="s">
        <v>756</v>
      </c>
      <c r="F553" s="109"/>
      <c r="G553" s="109"/>
      <c r="H553" s="241"/>
      <c r="I553" s="268">
        <v>3210</v>
      </c>
      <c r="J553" s="21">
        <f>1147900+51000</f>
        <v>1198900</v>
      </c>
      <c r="K553" s="147"/>
      <c r="L553" s="147"/>
      <c r="M553" s="147"/>
      <c r="N553" s="147"/>
      <c r="O553" s="147"/>
      <c r="P553" s="147">
        <v>1147900</v>
      </c>
      <c r="Q553" s="147"/>
      <c r="R553" s="147">
        <f>51000</f>
        <v>51000</v>
      </c>
      <c r="S553" s="147"/>
      <c r="T553" s="147"/>
      <c r="U553" s="147"/>
      <c r="V553" s="147"/>
      <c r="W553" s="147">
        <f>11082.17+934959.6</f>
        <v>946041.77</v>
      </c>
      <c r="X553" s="221">
        <f t="shared" si="72"/>
        <v>252858.22999999998</v>
      </c>
    </row>
    <row r="554" spans="2:24" ht="31.5">
      <c r="B554" s="317"/>
      <c r="C554" s="317"/>
      <c r="D554" s="318"/>
      <c r="E554" s="108" t="s">
        <v>757</v>
      </c>
      <c r="F554" s="109"/>
      <c r="G554" s="109"/>
      <c r="H554" s="241"/>
      <c r="I554" s="268">
        <v>3210</v>
      </c>
      <c r="J554" s="21">
        <v>62400</v>
      </c>
      <c r="K554" s="147"/>
      <c r="L554" s="147"/>
      <c r="M554" s="147"/>
      <c r="N554" s="147"/>
      <c r="O554" s="147"/>
      <c r="P554" s="147">
        <v>62400</v>
      </c>
      <c r="Q554" s="147"/>
      <c r="R554" s="147"/>
      <c r="S554" s="147"/>
      <c r="T554" s="147"/>
      <c r="U554" s="147"/>
      <c r="V554" s="147"/>
      <c r="W554" s="147">
        <f>5098.28</f>
        <v>5098.28</v>
      </c>
      <c r="X554" s="221">
        <f t="shared" si="72"/>
        <v>57301.72</v>
      </c>
    </row>
    <row r="555" spans="2:24" ht="63">
      <c r="B555" s="317"/>
      <c r="C555" s="317"/>
      <c r="D555" s="318"/>
      <c r="E555" s="108" t="s">
        <v>758</v>
      </c>
      <c r="F555" s="109"/>
      <c r="G555" s="109"/>
      <c r="H555" s="241"/>
      <c r="I555" s="268">
        <v>3210</v>
      </c>
      <c r="J555" s="21">
        <v>61100</v>
      </c>
      <c r="K555" s="147"/>
      <c r="L555" s="147"/>
      <c r="M555" s="147"/>
      <c r="N555" s="147"/>
      <c r="O555" s="147">
        <v>61100</v>
      </c>
      <c r="P555" s="147"/>
      <c r="Q555" s="147"/>
      <c r="R555" s="147"/>
      <c r="S555" s="147"/>
      <c r="T555" s="147"/>
      <c r="U555" s="147"/>
      <c r="V555" s="147"/>
      <c r="W555" s="147"/>
      <c r="X555" s="221">
        <f t="shared" si="72"/>
        <v>61100</v>
      </c>
    </row>
    <row r="556" spans="2:24" ht="94.5">
      <c r="B556" s="317"/>
      <c r="C556" s="317"/>
      <c r="D556" s="318"/>
      <c r="E556" s="24" t="s">
        <v>9</v>
      </c>
      <c r="F556" s="109"/>
      <c r="G556" s="109"/>
      <c r="H556" s="241"/>
      <c r="I556" s="268">
        <v>3210</v>
      </c>
      <c r="J556" s="21">
        <f>422800-422800</f>
        <v>0</v>
      </c>
      <c r="K556" s="147"/>
      <c r="L556" s="147"/>
      <c r="M556" s="147"/>
      <c r="N556" s="147"/>
      <c r="O556" s="147"/>
      <c r="P556" s="147"/>
      <c r="Q556" s="147"/>
      <c r="R556" s="147">
        <f>422800-422800</f>
        <v>0</v>
      </c>
      <c r="S556" s="147"/>
      <c r="T556" s="147"/>
      <c r="U556" s="147"/>
      <c r="V556" s="147"/>
      <c r="W556" s="147"/>
      <c r="X556" s="221">
        <f t="shared" si="72"/>
        <v>0</v>
      </c>
    </row>
    <row r="557" spans="2:24" ht="63.75" customHeight="1">
      <c r="B557" s="317"/>
      <c r="C557" s="317"/>
      <c r="D557" s="318"/>
      <c r="E557" s="371" t="s">
        <v>175</v>
      </c>
      <c r="F557" s="109"/>
      <c r="G557" s="109"/>
      <c r="H557" s="241"/>
      <c r="I557" s="268">
        <v>3210</v>
      </c>
      <c r="J557" s="21">
        <v>210400</v>
      </c>
      <c r="K557" s="147"/>
      <c r="L557" s="147"/>
      <c r="M557" s="147"/>
      <c r="N557" s="147"/>
      <c r="O557" s="147"/>
      <c r="P557" s="147"/>
      <c r="Q557" s="147"/>
      <c r="R557" s="147">
        <v>210400</v>
      </c>
      <c r="S557" s="147"/>
      <c r="T557" s="147"/>
      <c r="U557" s="147"/>
      <c r="V557" s="147"/>
      <c r="W557" s="147"/>
      <c r="X557" s="221">
        <f t="shared" si="72"/>
        <v>210400</v>
      </c>
    </row>
    <row r="558" spans="2:24" ht="63.75" customHeight="1">
      <c r="B558" s="317"/>
      <c r="C558" s="317"/>
      <c r="D558" s="318"/>
      <c r="E558" s="371" t="s">
        <v>176</v>
      </c>
      <c r="F558" s="109"/>
      <c r="G558" s="109"/>
      <c r="H558" s="241"/>
      <c r="I558" s="268">
        <v>3210</v>
      </c>
      <c r="J558" s="21">
        <v>212400</v>
      </c>
      <c r="K558" s="147"/>
      <c r="L558" s="147"/>
      <c r="M558" s="147"/>
      <c r="N558" s="147"/>
      <c r="O558" s="147"/>
      <c r="P558" s="147"/>
      <c r="Q558" s="147"/>
      <c r="R558" s="147">
        <v>212400</v>
      </c>
      <c r="S558" s="147"/>
      <c r="T558" s="147"/>
      <c r="U558" s="147"/>
      <c r="V558" s="147"/>
      <c r="W558" s="147"/>
      <c r="X558" s="221">
        <f t="shared" si="72"/>
        <v>212400</v>
      </c>
    </row>
    <row r="559" spans="2:24" ht="47.25">
      <c r="B559" s="317"/>
      <c r="C559" s="317"/>
      <c r="D559" s="318"/>
      <c r="E559" s="108" t="s">
        <v>759</v>
      </c>
      <c r="F559" s="109"/>
      <c r="G559" s="109"/>
      <c r="H559" s="241"/>
      <c r="I559" s="268">
        <v>3210</v>
      </c>
      <c r="J559" s="21">
        <v>200000</v>
      </c>
      <c r="K559" s="147"/>
      <c r="L559" s="147"/>
      <c r="M559" s="147"/>
      <c r="N559" s="147"/>
      <c r="O559" s="147">
        <v>200000</v>
      </c>
      <c r="P559" s="147"/>
      <c r="Q559" s="147"/>
      <c r="R559" s="147"/>
      <c r="S559" s="147"/>
      <c r="T559" s="147"/>
      <c r="U559" s="147"/>
      <c r="V559" s="147"/>
      <c r="W559" s="147">
        <f>6964</f>
        <v>6964</v>
      </c>
      <c r="X559" s="221">
        <f t="shared" si="72"/>
        <v>193036</v>
      </c>
    </row>
    <row r="560" spans="2:24" ht="31.5">
      <c r="B560" s="317"/>
      <c r="C560" s="317"/>
      <c r="D560" s="318"/>
      <c r="E560" s="127" t="s">
        <v>760</v>
      </c>
      <c r="F560" s="125"/>
      <c r="G560" s="125"/>
      <c r="H560" s="248"/>
      <c r="I560" s="268"/>
      <c r="J560" s="77">
        <f>J561</f>
        <v>28000</v>
      </c>
      <c r="K560" s="77">
        <f aca="true" t="shared" si="75" ref="K560:W560">K561</f>
        <v>0</v>
      </c>
      <c r="L560" s="77">
        <f t="shared" si="75"/>
        <v>0</v>
      </c>
      <c r="M560" s="77">
        <f t="shared" si="75"/>
        <v>0</v>
      </c>
      <c r="N560" s="77">
        <f t="shared" si="75"/>
        <v>0</v>
      </c>
      <c r="O560" s="77">
        <f t="shared" si="75"/>
        <v>0</v>
      </c>
      <c r="P560" s="77">
        <f t="shared" si="75"/>
        <v>28000</v>
      </c>
      <c r="Q560" s="77">
        <f t="shared" si="75"/>
        <v>0</v>
      </c>
      <c r="R560" s="77">
        <f t="shared" si="75"/>
        <v>0</v>
      </c>
      <c r="S560" s="77">
        <f t="shared" si="75"/>
        <v>0</v>
      </c>
      <c r="T560" s="77">
        <f t="shared" si="75"/>
        <v>0</v>
      </c>
      <c r="U560" s="77">
        <f t="shared" si="75"/>
        <v>0</v>
      </c>
      <c r="V560" s="77">
        <f t="shared" si="75"/>
        <v>0</v>
      </c>
      <c r="W560" s="77">
        <f t="shared" si="75"/>
        <v>0</v>
      </c>
      <c r="X560" s="221">
        <f t="shared" si="72"/>
        <v>28000</v>
      </c>
    </row>
    <row r="561" spans="2:24" ht="31.5">
      <c r="B561" s="317"/>
      <c r="C561" s="317"/>
      <c r="D561" s="318"/>
      <c r="E561" s="108" t="s">
        <v>761</v>
      </c>
      <c r="F561" s="109"/>
      <c r="G561" s="109"/>
      <c r="H561" s="241"/>
      <c r="I561" s="268">
        <v>3210</v>
      </c>
      <c r="J561" s="21">
        <v>28000</v>
      </c>
      <c r="K561" s="147"/>
      <c r="L561" s="147"/>
      <c r="M561" s="147"/>
      <c r="N561" s="147"/>
      <c r="O561" s="147"/>
      <c r="P561" s="147">
        <v>28000</v>
      </c>
      <c r="Q561" s="147"/>
      <c r="R561" s="147"/>
      <c r="S561" s="147"/>
      <c r="T561" s="147"/>
      <c r="U561" s="147"/>
      <c r="V561" s="147"/>
      <c r="W561" s="147"/>
      <c r="X561" s="221">
        <f t="shared" si="72"/>
        <v>28000</v>
      </c>
    </row>
    <row r="562" spans="2:24" ht="47.25">
      <c r="B562" s="317"/>
      <c r="C562" s="317"/>
      <c r="D562" s="318"/>
      <c r="E562" s="123" t="s">
        <v>762</v>
      </c>
      <c r="F562" s="109"/>
      <c r="G562" s="109"/>
      <c r="H562" s="249"/>
      <c r="I562" s="268"/>
      <c r="J562" s="77">
        <f>J563</f>
        <v>65830</v>
      </c>
      <c r="K562" s="77">
        <f aca="true" t="shared" si="76" ref="K562:W562">K563</f>
        <v>0</v>
      </c>
      <c r="L562" s="77">
        <f t="shared" si="76"/>
        <v>0</v>
      </c>
      <c r="M562" s="77">
        <f t="shared" si="76"/>
        <v>0</v>
      </c>
      <c r="N562" s="77">
        <f t="shared" si="76"/>
        <v>0</v>
      </c>
      <c r="O562" s="77">
        <f t="shared" si="76"/>
        <v>0</v>
      </c>
      <c r="P562" s="77">
        <f t="shared" si="76"/>
        <v>65830</v>
      </c>
      <c r="Q562" s="77">
        <f t="shared" si="76"/>
        <v>0</v>
      </c>
      <c r="R562" s="77">
        <f t="shared" si="76"/>
        <v>0</v>
      </c>
      <c r="S562" s="77">
        <f t="shared" si="76"/>
        <v>0</v>
      </c>
      <c r="T562" s="77">
        <f t="shared" si="76"/>
        <v>0</v>
      </c>
      <c r="U562" s="77">
        <f t="shared" si="76"/>
        <v>0</v>
      </c>
      <c r="V562" s="77">
        <f t="shared" si="76"/>
        <v>0</v>
      </c>
      <c r="W562" s="77">
        <f t="shared" si="76"/>
        <v>0</v>
      </c>
      <c r="X562" s="221">
        <f t="shared" si="72"/>
        <v>65830</v>
      </c>
    </row>
    <row r="563" spans="2:24" ht="31.5">
      <c r="B563" s="317"/>
      <c r="C563" s="317"/>
      <c r="D563" s="318"/>
      <c r="E563" s="12" t="s">
        <v>208</v>
      </c>
      <c r="F563" s="109"/>
      <c r="G563" s="106"/>
      <c r="H563" s="241"/>
      <c r="I563" s="268">
        <v>3210</v>
      </c>
      <c r="J563" s="21">
        <v>65830</v>
      </c>
      <c r="K563" s="147"/>
      <c r="L563" s="147"/>
      <c r="M563" s="147"/>
      <c r="N563" s="147"/>
      <c r="O563" s="147"/>
      <c r="P563" s="147">
        <v>65830</v>
      </c>
      <c r="Q563" s="147"/>
      <c r="R563" s="147"/>
      <c r="S563" s="147"/>
      <c r="T563" s="147"/>
      <c r="U563" s="147"/>
      <c r="V563" s="147"/>
      <c r="W563" s="147"/>
      <c r="X563" s="221">
        <f t="shared" si="72"/>
        <v>65830</v>
      </c>
    </row>
    <row r="564" spans="2:24" ht="31.5">
      <c r="B564" s="317"/>
      <c r="C564" s="317"/>
      <c r="D564" s="318"/>
      <c r="E564" s="123" t="s">
        <v>763</v>
      </c>
      <c r="F564" s="109"/>
      <c r="G564" s="109"/>
      <c r="H564" s="249"/>
      <c r="I564" s="268"/>
      <c r="J564" s="77">
        <f>SUM(J565:J567)</f>
        <v>1181200</v>
      </c>
      <c r="K564" s="77">
        <f aca="true" t="shared" si="77" ref="K564:W564">SUM(K565:K567)</f>
        <v>0</v>
      </c>
      <c r="L564" s="77">
        <f t="shared" si="77"/>
        <v>0</v>
      </c>
      <c r="M564" s="77">
        <f t="shared" si="77"/>
        <v>0</v>
      </c>
      <c r="N564" s="77">
        <f t="shared" si="77"/>
        <v>0</v>
      </c>
      <c r="O564" s="77">
        <f t="shared" si="77"/>
        <v>281200</v>
      </c>
      <c r="P564" s="77">
        <f t="shared" si="77"/>
        <v>250000</v>
      </c>
      <c r="Q564" s="77">
        <f t="shared" si="77"/>
        <v>500000</v>
      </c>
      <c r="R564" s="77">
        <f t="shared" si="77"/>
        <v>150000</v>
      </c>
      <c r="S564" s="77">
        <f t="shared" si="77"/>
        <v>0</v>
      </c>
      <c r="T564" s="77">
        <f t="shared" si="77"/>
        <v>0</v>
      </c>
      <c r="U564" s="77">
        <f t="shared" si="77"/>
        <v>0</v>
      </c>
      <c r="V564" s="77">
        <f t="shared" si="77"/>
        <v>0</v>
      </c>
      <c r="W564" s="77">
        <f t="shared" si="77"/>
        <v>0</v>
      </c>
      <c r="X564" s="221">
        <f t="shared" si="72"/>
        <v>1181200</v>
      </c>
    </row>
    <row r="565" spans="2:24" ht="31.5">
      <c r="B565" s="317"/>
      <c r="C565" s="317"/>
      <c r="D565" s="318"/>
      <c r="E565" s="12" t="s">
        <v>674</v>
      </c>
      <c r="F565" s="106"/>
      <c r="G565" s="107"/>
      <c r="H565" s="241"/>
      <c r="I565" s="268">
        <v>3210</v>
      </c>
      <c r="J565" s="21">
        <v>1000000</v>
      </c>
      <c r="K565" s="147"/>
      <c r="L565" s="147"/>
      <c r="M565" s="147"/>
      <c r="N565" s="147"/>
      <c r="O565" s="147">
        <v>100000</v>
      </c>
      <c r="P565" s="147">
        <v>250000</v>
      </c>
      <c r="Q565" s="147">
        <v>500000</v>
      </c>
      <c r="R565" s="147">
        <v>150000</v>
      </c>
      <c r="S565" s="147"/>
      <c r="T565" s="147"/>
      <c r="U565" s="147"/>
      <c r="V565" s="147"/>
      <c r="W565" s="147"/>
      <c r="X565" s="221">
        <f t="shared" si="72"/>
        <v>1000000</v>
      </c>
    </row>
    <row r="566" spans="2:24" ht="31.5">
      <c r="B566" s="317"/>
      <c r="C566" s="317"/>
      <c r="D566" s="318"/>
      <c r="E566" s="105" t="s">
        <v>675</v>
      </c>
      <c r="F566" s="106"/>
      <c r="G566" s="106"/>
      <c r="H566" s="250"/>
      <c r="I566" s="268">
        <v>3210</v>
      </c>
      <c r="J566" s="21">
        <f>120000-18401</f>
        <v>101599</v>
      </c>
      <c r="K566" s="147"/>
      <c r="L566" s="147"/>
      <c r="M566" s="147"/>
      <c r="N566" s="147"/>
      <c r="O566" s="147">
        <v>120000</v>
      </c>
      <c r="P566" s="147"/>
      <c r="Q566" s="147"/>
      <c r="R566" s="147">
        <f>-18401</f>
        <v>-18401</v>
      </c>
      <c r="S566" s="147"/>
      <c r="T566" s="147"/>
      <c r="U566" s="147"/>
      <c r="V566" s="147"/>
      <c r="W566" s="147"/>
      <c r="X566" s="221">
        <f t="shared" si="72"/>
        <v>101599</v>
      </c>
    </row>
    <row r="567" spans="2:24" ht="31.5">
      <c r="B567" s="317"/>
      <c r="C567" s="317"/>
      <c r="D567" s="318"/>
      <c r="E567" s="10" t="s">
        <v>676</v>
      </c>
      <c r="F567" s="109"/>
      <c r="G567" s="115"/>
      <c r="H567" s="239"/>
      <c r="I567" s="268">
        <v>3210</v>
      </c>
      <c r="J567" s="21">
        <f>61200+18401</f>
        <v>79601</v>
      </c>
      <c r="K567" s="147"/>
      <c r="L567" s="147"/>
      <c r="M567" s="147"/>
      <c r="N567" s="147"/>
      <c r="O567" s="147">
        <v>61200</v>
      </c>
      <c r="P567" s="147"/>
      <c r="Q567" s="147"/>
      <c r="R567" s="147">
        <v>18401</v>
      </c>
      <c r="S567" s="147"/>
      <c r="T567" s="147"/>
      <c r="U567" s="147"/>
      <c r="V567" s="147"/>
      <c r="W567" s="147"/>
      <c r="X567" s="221">
        <f t="shared" si="72"/>
        <v>79601</v>
      </c>
    </row>
    <row r="568" spans="2:24" ht="15.75">
      <c r="B568" s="311" t="s">
        <v>318</v>
      </c>
      <c r="C568" s="311" t="s">
        <v>741</v>
      </c>
      <c r="D568" s="307" t="s">
        <v>677</v>
      </c>
      <c r="E568" s="29"/>
      <c r="F568" s="14"/>
      <c r="G568" s="18"/>
      <c r="H568" s="240"/>
      <c r="I568" s="268"/>
      <c r="J568" s="220">
        <f>J569</f>
        <v>50000</v>
      </c>
      <c r="K568" s="220">
        <f aca="true" t="shared" si="78" ref="K568:W568">K569</f>
        <v>0</v>
      </c>
      <c r="L568" s="220">
        <f t="shared" si="78"/>
        <v>0</v>
      </c>
      <c r="M568" s="220">
        <f t="shared" si="78"/>
        <v>0</v>
      </c>
      <c r="N568" s="220">
        <f t="shared" si="78"/>
        <v>0</v>
      </c>
      <c r="O568" s="220">
        <f t="shared" si="78"/>
        <v>0</v>
      </c>
      <c r="P568" s="220">
        <f t="shared" si="78"/>
        <v>50000</v>
      </c>
      <c r="Q568" s="220">
        <f t="shared" si="78"/>
        <v>0</v>
      </c>
      <c r="R568" s="220">
        <f t="shared" si="78"/>
        <v>0</v>
      </c>
      <c r="S568" s="220">
        <f t="shared" si="78"/>
        <v>0</v>
      </c>
      <c r="T568" s="220">
        <f t="shared" si="78"/>
        <v>0</v>
      </c>
      <c r="U568" s="220">
        <f t="shared" si="78"/>
        <v>0</v>
      </c>
      <c r="V568" s="220">
        <f t="shared" si="78"/>
        <v>0</v>
      </c>
      <c r="W568" s="220">
        <f t="shared" si="78"/>
        <v>49500</v>
      </c>
      <c r="X568" s="221">
        <f t="shared" si="72"/>
        <v>500</v>
      </c>
    </row>
    <row r="569" spans="2:24" ht="63">
      <c r="B569" s="313"/>
      <c r="C569" s="313"/>
      <c r="D569" s="308"/>
      <c r="E569" s="105" t="s">
        <v>278</v>
      </c>
      <c r="F569" s="113"/>
      <c r="G569" s="113"/>
      <c r="H569" s="239"/>
      <c r="I569" s="261"/>
      <c r="J569" s="21">
        <v>50000</v>
      </c>
      <c r="K569" s="147"/>
      <c r="L569" s="147"/>
      <c r="M569" s="147"/>
      <c r="N569" s="147"/>
      <c r="O569" s="147"/>
      <c r="P569" s="147">
        <v>50000</v>
      </c>
      <c r="Q569" s="147"/>
      <c r="R569" s="147"/>
      <c r="S569" s="147"/>
      <c r="T569" s="147"/>
      <c r="U569" s="147"/>
      <c r="V569" s="147"/>
      <c r="W569" s="147">
        <v>49500</v>
      </c>
      <c r="X569" s="221">
        <f t="shared" si="72"/>
        <v>500</v>
      </c>
    </row>
    <row r="570" spans="2:24" ht="15.75">
      <c r="B570" s="303" t="s">
        <v>191</v>
      </c>
      <c r="C570" s="303" t="s">
        <v>742</v>
      </c>
      <c r="D570" s="307" t="s">
        <v>192</v>
      </c>
      <c r="E570" s="29"/>
      <c r="F570" s="76"/>
      <c r="G570" s="99"/>
      <c r="H570" s="235"/>
      <c r="I570" s="266"/>
      <c r="J570" s="220">
        <f>SUM(J571:J572)</f>
        <v>229385.47</v>
      </c>
      <c r="K570" s="220">
        <f aca="true" t="shared" si="79" ref="K570:W570">SUM(K571:K572)</f>
        <v>0</v>
      </c>
      <c r="L570" s="220">
        <f t="shared" si="79"/>
        <v>208369.1</v>
      </c>
      <c r="M570" s="220">
        <f t="shared" si="79"/>
        <v>21016.37</v>
      </c>
      <c r="N570" s="220">
        <f t="shared" si="79"/>
        <v>0</v>
      </c>
      <c r="O570" s="220">
        <f t="shared" si="79"/>
        <v>0</v>
      </c>
      <c r="P570" s="220">
        <f t="shared" si="79"/>
        <v>0</v>
      </c>
      <c r="Q570" s="220">
        <f t="shared" si="79"/>
        <v>0</v>
      </c>
      <c r="R570" s="220">
        <f t="shared" si="79"/>
        <v>0</v>
      </c>
      <c r="S570" s="220">
        <f t="shared" si="79"/>
        <v>0</v>
      </c>
      <c r="T570" s="220">
        <f t="shared" si="79"/>
        <v>0</v>
      </c>
      <c r="U570" s="220">
        <f t="shared" si="79"/>
        <v>0</v>
      </c>
      <c r="V570" s="220">
        <f t="shared" si="79"/>
        <v>0</v>
      </c>
      <c r="W570" s="220">
        <f t="shared" si="79"/>
        <v>208369.1</v>
      </c>
      <c r="X570" s="221">
        <f t="shared" si="72"/>
        <v>21016.369999999995</v>
      </c>
    </row>
    <row r="571" spans="2:24" ht="78.75">
      <c r="B571" s="304"/>
      <c r="C571" s="304"/>
      <c r="D571" s="308"/>
      <c r="E571" s="10" t="s">
        <v>390</v>
      </c>
      <c r="F571" s="76"/>
      <c r="G571" s="99"/>
      <c r="H571" s="235"/>
      <c r="I571" s="266">
        <v>3122</v>
      </c>
      <c r="J571" s="128">
        <v>208369.1</v>
      </c>
      <c r="K571" s="147"/>
      <c r="L571" s="128">
        <v>208369.1</v>
      </c>
      <c r="M571" s="147"/>
      <c r="N571" s="147"/>
      <c r="O571" s="147"/>
      <c r="P571" s="147"/>
      <c r="Q571" s="147"/>
      <c r="R571" s="147"/>
      <c r="S571" s="147"/>
      <c r="T571" s="147"/>
      <c r="U571" s="147"/>
      <c r="V571" s="147"/>
      <c r="W571" s="147">
        <v>208369.1</v>
      </c>
      <c r="X571" s="221">
        <f t="shared" si="72"/>
        <v>0</v>
      </c>
    </row>
    <row r="572" spans="2:24" ht="78.75">
      <c r="B572" s="306"/>
      <c r="C572" s="306"/>
      <c r="D572" s="310"/>
      <c r="E572" s="10" t="s">
        <v>286</v>
      </c>
      <c r="F572" s="76"/>
      <c r="G572" s="99"/>
      <c r="H572" s="235"/>
      <c r="I572" s="266">
        <v>3122</v>
      </c>
      <c r="J572" s="128">
        <v>21016.37</v>
      </c>
      <c r="K572" s="147"/>
      <c r="L572" s="147"/>
      <c r="M572" s="147">
        <v>21016.37</v>
      </c>
      <c r="N572" s="147"/>
      <c r="O572" s="147"/>
      <c r="P572" s="147"/>
      <c r="Q572" s="147"/>
      <c r="R572" s="147"/>
      <c r="S572" s="147"/>
      <c r="T572" s="147"/>
      <c r="U572" s="147"/>
      <c r="V572" s="147"/>
      <c r="W572" s="147"/>
      <c r="X572" s="221">
        <f t="shared" si="72"/>
        <v>21016.37</v>
      </c>
    </row>
    <row r="573" spans="2:24" ht="15.75">
      <c r="B573" s="316" t="s">
        <v>193</v>
      </c>
      <c r="C573" s="316" t="s">
        <v>194</v>
      </c>
      <c r="D573" s="328" t="s">
        <v>195</v>
      </c>
      <c r="E573" s="29"/>
      <c r="F573" s="76"/>
      <c r="G573" s="99"/>
      <c r="H573" s="235"/>
      <c r="I573" s="266"/>
      <c r="J573" s="220">
        <f>SUM(J574:J575)</f>
        <v>767368.1</v>
      </c>
      <c r="K573" s="220">
        <f aca="true" t="shared" si="80" ref="K573:W573">SUM(K574:K575)</f>
        <v>0</v>
      </c>
      <c r="L573" s="220">
        <f t="shared" si="80"/>
        <v>292509.47</v>
      </c>
      <c r="M573" s="220">
        <f t="shared" si="80"/>
        <v>28983.63</v>
      </c>
      <c r="N573" s="220">
        <f t="shared" si="80"/>
        <v>0</v>
      </c>
      <c r="O573" s="220">
        <f t="shared" si="80"/>
        <v>203653.24</v>
      </c>
      <c r="P573" s="220">
        <f t="shared" si="80"/>
        <v>0</v>
      </c>
      <c r="Q573" s="220">
        <f t="shared" si="80"/>
        <v>0</v>
      </c>
      <c r="R573" s="220">
        <f t="shared" si="80"/>
        <v>242221.76</v>
      </c>
      <c r="S573" s="220">
        <f t="shared" si="80"/>
        <v>0</v>
      </c>
      <c r="T573" s="220">
        <f t="shared" si="80"/>
        <v>0</v>
      </c>
      <c r="U573" s="220">
        <f t="shared" si="80"/>
        <v>0</v>
      </c>
      <c r="V573" s="220">
        <f t="shared" si="80"/>
        <v>0</v>
      </c>
      <c r="W573" s="220">
        <f t="shared" si="80"/>
        <v>292509.47</v>
      </c>
      <c r="X573" s="221">
        <f t="shared" si="72"/>
        <v>474858.63</v>
      </c>
    </row>
    <row r="574" spans="2:24" ht="63">
      <c r="B574" s="316"/>
      <c r="C574" s="316"/>
      <c r="D574" s="328"/>
      <c r="E574" s="29" t="s">
        <v>391</v>
      </c>
      <c r="F574" s="76"/>
      <c r="G574" s="99"/>
      <c r="H574" s="235"/>
      <c r="I574" s="266">
        <v>3142</v>
      </c>
      <c r="J574" s="9">
        <v>292509.47</v>
      </c>
      <c r="K574" s="147"/>
      <c r="L574" s="9">
        <v>292509.47</v>
      </c>
      <c r="M574" s="148"/>
      <c r="N574" s="150"/>
      <c r="O574" s="148"/>
      <c r="P574" s="148"/>
      <c r="Q574" s="148"/>
      <c r="R574" s="148"/>
      <c r="S574" s="147"/>
      <c r="T574" s="147"/>
      <c r="U574" s="147"/>
      <c r="V574" s="147"/>
      <c r="W574" s="147">
        <v>292509.47</v>
      </c>
      <c r="X574" s="221">
        <f t="shared" si="72"/>
        <v>0</v>
      </c>
    </row>
    <row r="575" spans="2:24" ht="31.5" customHeight="1">
      <c r="B575" s="316"/>
      <c r="C575" s="316"/>
      <c r="D575" s="328"/>
      <c r="E575" s="12" t="s">
        <v>287</v>
      </c>
      <c r="F575" s="109"/>
      <c r="G575" s="107"/>
      <c r="H575" s="251"/>
      <c r="I575" s="266">
        <v>3110</v>
      </c>
      <c r="J575" s="49">
        <v>474858.63</v>
      </c>
      <c r="K575" s="147"/>
      <c r="L575" s="9"/>
      <c r="M575" s="148">
        <v>28983.63</v>
      </c>
      <c r="N575" s="150"/>
      <c r="O575" s="148">
        <v>203653.24</v>
      </c>
      <c r="P575" s="148"/>
      <c r="Q575" s="148"/>
      <c r="R575" s="148">
        <v>242221.76</v>
      </c>
      <c r="S575" s="147"/>
      <c r="T575" s="147"/>
      <c r="U575" s="147"/>
      <c r="V575" s="147"/>
      <c r="W575" s="147"/>
      <c r="X575" s="221">
        <f t="shared" si="72"/>
        <v>474858.63</v>
      </c>
    </row>
    <row r="576" spans="2:24" ht="15.75" customHeight="1">
      <c r="B576" s="316" t="s">
        <v>196</v>
      </c>
      <c r="C576" s="316" t="s">
        <v>744</v>
      </c>
      <c r="D576" s="328" t="s">
        <v>743</v>
      </c>
      <c r="E576" s="29"/>
      <c r="F576" s="76"/>
      <c r="G576" s="99"/>
      <c r="H576" s="235"/>
      <c r="I576" s="266"/>
      <c r="J576" s="220">
        <f>SUM(J577:J580)</f>
        <v>1380110.27</v>
      </c>
      <c r="K576" s="220">
        <f aca="true" t="shared" si="81" ref="K576:W576">SUM(K577:K580)</f>
        <v>0</v>
      </c>
      <c r="L576" s="220">
        <f t="shared" si="81"/>
        <v>175321.43</v>
      </c>
      <c r="M576" s="220">
        <f t="shared" si="81"/>
        <v>0</v>
      </c>
      <c r="N576" s="220">
        <f t="shared" si="81"/>
        <v>0</v>
      </c>
      <c r="O576" s="220">
        <f t="shared" si="81"/>
        <v>70146.76</v>
      </c>
      <c r="P576" s="220">
        <f t="shared" si="81"/>
        <v>274531.81</v>
      </c>
      <c r="Q576" s="220">
        <f t="shared" si="81"/>
        <v>100000</v>
      </c>
      <c r="R576" s="220">
        <f t="shared" si="81"/>
        <v>760110.27</v>
      </c>
      <c r="S576" s="220">
        <f t="shared" si="81"/>
        <v>0</v>
      </c>
      <c r="T576" s="220">
        <f t="shared" si="81"/>
        <v>0</v>
      </c>
      <c r="U576" s="220">
        <f t="shared" si="81"/>
        <v>0</v>
      </c>
      <c r="V576" s="220">
        <f t="shared" si="81"/>
        <v>0</v>
      </c>
      <c r="W576" s="220">
        <f t="shared" si="81"/>
        <v>149708.52</v>
      </c>
      <c r="X576" s="221">
        <f t="shared" si="72"/>
        <v>1230401.75</v>
      </c>
    </row>
    <row r="577" spans="2:24" ht="47.25" customHeight="1">
      <c r="B577" s="316"/>
      <c r="C577" s="316"/>
      <c r="D577" s="328"/>
      <c r="E577" s="31" t="s">
        <v>392</v>
      </c>
      <c r="F577" s="76"/>
      <c r="G577" s="99"/>
      <c r="H577" s="235"/>
      <c r="I577" s="266">
        <v>3210</v>
      </c>
      <c r="J577" s="128">
        <v>225141.37</v>
      </c>
      <c r="K577" s="147"/>
      <c r="L577" s="147">
        <v>50000</v>
      </c>
      <c r="M577" s="147"/>
      <c r="N577" s="147"/>
      <c r="O577" s="147"/>
      <c r="P577" s="147"/>
      <c r="Q577" s="147"/>
      <c r="R577" s="147">
        <v>175141.37</v>
      </c>
      <c r="S577" s="147"/>
      <c r="T577" s="147"/>
      <c r="U577" s="147"/>
      <c r="V577" s="147"/>
      <c r="W577" s="147"/>
      <c r="X577" s="221">
        <f t="shared" si="72"/>
        <v>225141.37</v>
      </c>
    </row>
    <row r="578" spans="2:24" ht="47.25" customHeight="1">
      <c r="B578" s="316"/>
      <c r="C578" s="316"/>
      <c r="D578" s="328"/>
      <c r="E578" s="31" t="s">
        <v>272</v>
      </c>
      <c r="F578" s="76"/>
      <c r="G578" s="99"/>
      <c r="H578" s="235"/>
      <c r="I578" s="266">
        <v>3210</v>
      </c>
      <c r="J578" s="128">
        <v>294968.9</v>
      </c>
      <c r="K578" s="147"/>
      <c r="L578" s="147"/>
      <c r="M578" s="147"/>
      <c r="N578" s="147"/>
      <c r="O578" s="147"/>
      <c r="P578" s="147"/>
      <c r="Q578" s="147"/>
      <c r="R578" s="147">
        <f>285418+9550.9</f>
        <v>294968.9</v>
      </c>
      <c r="S578" s="147"/>
      <c r="T578" s="147"/>
      <c r="U578" s="147">
        <f>9550.9-9550.9</f>
        <v>0</v>
      </c>
      <c r="V578" s="147"/>
      <c r="W578" s="147"/>
      <c r="X578" s="221">
        <f t="shared" si="72"/>
        <v>294968.9</v>
      </c>
    </row>
    <row r="579" spans="2:24" ht="47.25" customHeight="1">
      <c r="B579" s="316"/>
      <c r="C579" s="316"/>
      <c r="D579" s="328"/>
      <c r="E579" s="31" t="s">
        <v>273</v>
      </c>
      <c r="F579" s="76"/>
      <c r="G579" s="99"/>
      <c r="H579" s="235"/>
      <c r="I579" s="266">
        <v>3210</v>
      </c>
      <c r="J579" s="128">
        <v>390000</v>
      </c>
      <c r="K579" s="147"/>
      <c r="L579" s="147"/>
      <c r="M579" s="147"/>
      <c r="N579" s="147"/>
      <c r="O579" s="147"/>
      <c r="P579" s="147"/>
      <c r="Q579" s="147">
        <v>100000</v>
      </c>
      <c r="R579" s="147">
        <v>290000</v>
      </c>
      <c r="S579" s="147"/>
      <c r="T579" s="147"/>
      <c r="U579" s="147">
        <f>390000-390000</f>
        <v>0</v>
      </c>
      <c r="V579" s="147"/>
      <c r="W579" s="147"/>
      <c r="X579" s="221">
        <f t="shared" si="72"/>
        <v>390000</v>
      </c>
    </row>
    <row r="580" spans="2:24" ht="31.5">
      <c r="B580" s="316"/>
      <c r="C580" s="316"/>
      <c r="D580" s="328"/>
      <c r="E580" s="31" t="s">
        <v>274</v>
      </c>
      <c r="F580" s="76"/>
      <c r="G580" s="99"/>
      <c r="H580" s="235"/>
      <c r="I580" s="266">
        <v>3210</v>
      </c>
      <c r="J580" s="128">
        <f>195468.19+274531.81</f>
        <v>470000</v>
      </c>
      <c r="K580" s="147"/>
      <c r="L580" s="147">
        <v>125321.43</v>
      </c>
      <c r="M580" s="147"/>
      <c r="N580" s="147"/>
      <c r="O580" s="147">
        <v>70146.76</v>
      </c>
      <c r="P580" s="147">
        <v>274531.81</v>
      </c>
      <c r="Q580" s="147"/>
      <c r="R580" s="147"/>
      <c r="S580" s="147"/>
      <c r="T580" s="147"/>
      <c r="U580" s="147"/>
      <c r="V580" s="147"/>
      <c r="W580" s="147">
        <v>149708.52</v>
      </c>
      <c r="X580" s="221">
        <f t="shared" si="72"/>
        <v>320291.48</v>
      </c>
    </row>
    <row r="581" spans="2:24" ht="15.75">
      <c r="B581" s="204"/>
      <c r="C581" s="205"/>
      <c r="D581" s="319" t="s">
        <v>748</v>
      </c>
      <c r="E581" s="320"/>
      <c r="F581" s="100"/>
      <c r="G581" s="101"/>
      <c r="H581" s="234"/>
      <c r="I581" s="265"/>
      <c r="J581" s="43">
        <f>J585+J591+J603+J607+J612+J616+J668+J674+J731+J605+J726+J582</f>
        <v>37725706.83</v>
      </c>
      <c r="K581" s="43">
        <f aca="true" t="shared" si="82" ref="K581:W581">K585+K591+K603+K607+K612+K616+K668+K674+K731+K605+K726+K582</f>
        <v>0</v>
      </c>
      <c r="L581" s="43">
        <f t="shared" si="82"/>
        <v>5764956.289999999</v>
      </c>
      <c r="M581" s="43">
        <f t="shared" si="82"/>
        <v>0</v>
      </c>
      <c r="N581" s="43">
        <f t="shared" si="82"/>
        <v>0</v>
      </c>
      <c r="O581" s="43">
        <f t="shared" si="82"/>
        <v>2741572.66</v>
      </c>
      <c r="P581" s="43">
        <f t="shared" si="82"/>
        <v>5980997.3</v>
      </c>
      <c r="Q581" s="43">
        <f t="shared" si="82"/>
        <v>5031760.970000001</v>
      </c>
      <c r="R581" s="43">
        <f t="shared" si="82"/>
        <v>10156573.33</v>
      </c>
      <c r="S581" s="43">
        <f t="shared" si="82"/>
        <v>7325971.28</v>
      </c>
      <c r="T581" s="43">
        <f t="shared" si="82"/>
        <v>294625</v>
      </c>
      <c r="U581" s="43">
        <f t="shared" si="82"/>
        <v>414625</v>
      </c>
      <c r="V581" s="43">
        <f t="shared" si="82"/>
        <v>14625</v>
      </c>
      <c r="W581" s="43">
        <f>W585+W591+W603+W607+W612+W616+W668+W674+W731+W605+W726+W582</f>
        <v>9803303.16</v>
      </c>
      <c r="X581" s="221">
        <f t="shared" si="72"/>
        <v>19872557.389999997</v>
      </c>
    </row>
    <row r="582" spans="2:24" ht="15.75" customHeight="1">
      <c r="B582" s="368" t="s">
        <v>348</v>
      </c>
      <c r="C582" s="366" t="s">
        <v>346</v>
      </c>
      <c r="D582" s="318" t="s">
        <v>798</v>
      </c>
      <c r="E582" s="278"/>
      <c r="F582" s="76"/>
      <c r="G582" s="99"/>
      <c r="H582" s="235"/>
      <c r="I582" s="266"/>
      <c r="J582" s="222">
        <f>J583+J584</f>
        <v>195000</v>
      </c>
      <c r="K582" s="222">
        <f aca="true" t="shared" si="83" ref="K582:W582">K583+K584</f>
        <v>0</v>
      </c>
      <c r="L582" s="222">
        <f t="shared" si="83"/>
        <v>0</v>
      </c>
      <c r="M582" s="222">
        <f t="shared" si="83"/>
        <v>0</v>
      </c>
      <c r="N582" s="222">
        <f t="shared" si="83"/>
        <v>0</v>
      </c>
      <c r="O582" s="222">
        <f t="shared" si="83"/>
        <v>0</v>
      </c>
      <c r="P582" s="222">
        <f t="shared" si="83"/>
        <v>0</v>
      </c>
      <c r="Q582" s="222">
        <f t="shared" si="83"/>
        <v>0</v>
      </c>
      <c r="R582" s="222">
        <f t="shared" si="83"/>
        <v>195000</v>
      </c>
      <c r="S582" s="222">
        <f t="shared" si="83"/>
        <v>0</v>
      </c>
      <c r="T582" s="222">
        <f t="shared" si="83"/>
        <v>0</v>
      </c>
      <c r="U582" s="222">
        <f t="shared" si="83"/>
        <v>0</v>
      </c>
      <c r="V582" s="222">
        <f t="shared" si="83"/>
        <v>0</v>
      </c>
      <c r="W582" s="222">
        <f t="shared" si="83"/>
        <v>0</v>
      </c>
      <c r="X582" s="221">
        <f t="shared" si="72"/>
        <v>195000</v>
      </c>
    </row>
    <row r="583" spans="2:24" ht="15.75">
      <c r="B583" s="369"/>
      <c r="C583" s="366"/>
      <c r="D583" s="318"/>
      <c r="E583" s="12" t="s">
        <v>173</v>
      </c>
      <c r="F583" s="76"/>
      <c r="G583" s="99"/>
      <c r="H583" s="235"/>
      <c r="I583" s="266">
        <v>3110</v>
      </c>
      <c r="J583" s="128">
        <v>100000</v>
      </c>
      <c r="K583" s="102"/>
      <c r="L583" s="102"/>
      <c r="M583" s="102"/>
      <c r="N583" s="102"/>
      <c r="O583" s="102"/>
      <c r="P583" s="102"/>
      <c r="Q583" s="102"/>
      <c r="R583" s="76">
        <v>100000</v>
      </c>
      <c r="S583" s="102"/>
      <c r="T583" s="102"/>
      <c r="U583" s="102"/>
      <c r="V583" s="102"/>
      <c r="W583" s="102"/>
      <c r="X583" s="221">
        <f t="shared" si="72"/>
        <v>100000</v>
      </c>
    </row>
    <row r="584" spans="2:24" ht="47.25">
      <c r="B584" s="370"/>
      <c r="C584" s="366"/>
      <c r="D584" s="318"/>
      <c r="E584" s="12" t="s">
        <v>174</v>
      </c>
      <c r="F584" s="76"/>
      <c r="G584" s="99"/>
      <c r="H584" s="235"/>
      <c r="I584" s="266">
        <v>3110</v>
      </c>
      <c r="J584" s="128">
        <v>95000</v>
      </c>
      <c r="K584" s="102"/>
      <c r="L584" s="102"/>
      <c r="M584" s="102"/>
      <c r="N584" s="102"/>
      <c r="O584" s="102"/>
      <c r="P584" s="102"/>
      <c r="Q584" s="102"/>
      <c r="R584" s="76">
        <v>95000</v>
      </c>
      <c r="S584" s="102"/>
      <c r="T584" s="102"/>
      <c r="U584" s="102"/>
      <c r="V584" s="102"/>
      <c r="W584" s="102"/>
      <c r="X584" s="221">
        <f t="shared" si="72"/>
        <v>95000</v>
      </c>
    </row>
    <row r="585" spans="2:24" ht="15.75">
      <c r="B585" s="303" t="s">
        <v>816</v>
      </c>
      <c r="C585" s="303" t="s">
        <v>800</v>
      </c>
      <c r="D585" s="307" t="s">
        <v>320</v>
      </c>
      <c r="E585" s="94"/>
      <c r="F585" s="76"/>
      <c r="G585" s="99"/>
      <c r="H585" s="235"/>
      <c r="I585" s="266"/>
      <c r="J585" s="222">
        <f>SUM(J586:J590)</f>
        <v>739797.73</v>
      </c>
      <c r="K585" s="222">
        <f aca="true" t="shared" si="84" ref="K585:W585">SUM(K586:K590)</f>
        <v>0</v>
      </c>
      <c r="L585" s="222">
        <f t="shared" si="84"/>
        <v>376797.73</v>
      </c>
      <c r="M585" s="222">
        <f t="shared" si="84"/>
        <v>0</v>
      </c>
      <c r="N585" s="222">
        <f t="shared" si="84"/>
        <v>0</v>
      </c>
      <c r="O585" s="222">
        <f t="shared" si="84"/>
        <v>0</v>
      </c>
      <c r="P585" s="222">
        <f t="shared" si="84"/>
        <v>363000</v>
      </c>
      <c r="Q585" s="222">
        <f t="shared" si="84"/>
        <v>0</v>
      </c>
      <c r="R585" s="222">
        <f t="shared" si="84"/>
        <v>0</v>
      </c>
      <c r="S585" s="222">
        <f t="shared" si="84"/>
        <v>0</v>
      </c>
      <c r="T585" s="222">
        <f t="shared" si="84"/>
        <v>0</v>
      </c>
      <c r="U585" s="222">
        <f t="shared" si="84"/>
        <v>0</v>
      </c>
      <c r="V585" s="222">
        <f t="shared" si="84"/>
        <v>0</v>
      </c>
      <c r="W585" s="222">
        <f t="shared" si="84"/>
        <v>376797.73</v>
      </c>
      <c r="X585" s="221">
        <f t="shared" si="72"/>
        <v>363000</v>
      </c>
    </row>
    <row r="586" spans="2:24" ht="94.5">
      <c r="B586" s="304"/>
      <c r="C586" s="304"/>
      <c r="D586" s="308"/>
      <c r="E586" s="12" t="s">
        <v>393</v>
      </c>
      <c r="F586" s="76">
        <v>200000</v>
      </c>
      <c r="G586" s="18">
        <f>100%-((F586-H586)/F586)</f>
        <v>0.52470885</v>
      </c>
      <c r="H586" s="235">
        <v>104941.77</v>
      </c>
      <c r="I586" s="266">
        <v>3132</v>
      </c>
      <c r="J586" s="9">
        <v>1440.73</v>
      </c>
      <c r="K586" s="147"/>
      <c r="L586" s="9">
        <v>1440.73</v>
      </c>
      <c r="M586" s="147"/>
      <c r="N586" s="147"/>
      <c r="O586" s="147"/>
      <c r="P586" s="147"/>
      <c r="Q586" s="147"/>
      <c r="R586" s="147"/>
      <c r="S586" s="147"/>
      <c r="T586" s="147"/>
      <c r="U586" s="147"/>
      <c r="V586" s="147"/>
      <c r="W586" s="147">
        <v>1440.73</v>
      </c>
      <c r="X586" s="221">
        <f t="shared" si="72"/>
        <v>0</v>
      </c>
    </row>
    <row r="587" spans="2:24" ht="47.25">
      <c r="B587" s="304"/>
      <c r="C587" s="304"/>
      <c r="D587" s="308"/>
      <c r="E587" s="12" t="s">
        <v>394</v>
      </c>
      <c r="F587" s="76">
        <v>621000</v>
      </c>
      <c r="G587" s="18">
        <f>100%-((F587-H587)/F587)</f>
        <v>0.394524959742351</v>
      </c>
      <c r="H587" s="235">
        <v>245000</v>
      </c>
      <c r="I587" s="266">
        <v>3132</v>
      </c>
      <c r="J587" s="9">
        <v>375357</v>
      </c>
      <c r="K587" s="147"/>
      <c r="L587" s="9">
        <v>375357</v>
      </c>
      <c r="M587" s="147"/>
      <c r="N587" s="147"/>
      <c r="O587" s="147"/>
      <c r="P587" s="147"/>
      <c r="Q587" s="147"/>
      <c r="R587" s="147"/>
      <c r="S587" s="147"/>
      <c r="T587" s="147"/>
      <c r="U587" s="147"/>
      <c r="V587" s="147"/>
      <c r="W587" s="147">
        <v>375357</v>
      </c>
      <c r="X587" s="221">
        <f t="shared" si="72"/>
        <v>0</v>
      </c>
    </row>
    <row r="588" spans="2:24" ht="78.75">
      <c r="B588" s="304"/>
      <c r="C588" s="304"/>
      <c r="D588" s="308"/>
      <c r="E588" s="12" t="s">
        <v>288</v>
      </c>
      <c r="F588" s="76">
        <v>200000</v>
      </c>
      <c r="G588" s="18">
        <f>100%-((F588-H588)/F588)</f>
        <v>0.52470885</v>
      </c>
      <c r="H588" s="235">
        <v>104941.77</v>
      </c>
      <c r="I588" s="266">
        <v>3132</v>
      </c>
      <c r="J588" s="9">
        <v>97000</v>
      </c>
      <c r="K588" s="147"/>
      <c r="L588" s="147"/>
      <c r="M588" s="147"/>
      <c r="N588" s="147"/>
      <c r="O588" s="147"/>
      <c r="P588" s="147">
        <v>97000</v>
      </c>
      <c r="Q588" s="147"/>
      <c r="R588" s="147"/>
      <c r="S588" s="147"/>
      <c r="T588" s="147"/>
      <c r="U588" s="147"/>
      <c r="V588" s="147"/>
      <c r="W588" s="147"/>
      <c r="X588" s="221">
        <f t="shared" si="72"/>
        <v>97000</v>
      </c>
    </row>
    <row r="589" spans="2:24" ht="31.5">
      <c r="B589" s="304"/>
      <c r="C589" s="304"/>
      <c r="D589" s="308"/>
      <c r="E589" s="12" t="s">
        <v>289</v>
      </c>
      <c r="F589" s="76"/>
      <c r="G589" s="18"/>
      <c r="H589" s="235"/>
      <c r="I589" s="266">
        <v>3132</v>
      </c>
      <c r="J589" s="9">
        <v>21000</v>
      </c>
      <c r="K589" s="147"/>
      <c r="L589" s="147"/>
      <c r="M589" s="147"/>
      <c r="N589" s="147"/>
      <c r="O589" s="147"/>
      <c r="P589" s="147">
        <v>21000</v>
      </c>
      <c r="Q589" s="147"/>
      <c r="R589" s="147"/>
      <c r="S589" s="147"/>
      <c r="T589" s="147"/>
      <c r="U589" s="147"/>
      <c r="V589" s="147"/>
      <c r="W589" s="147"/>
      <c r="X589" s="221">
        <f t="shared" si="72"/>
        <v>21000</v>
      </c>
    </row>
    <row r="590" spans="2:24" ht="31.5">
      <c r="B590" s="304"/>
      <c r="C590" s="304"/>
      <c r="D590" s="308"/>
      <c r="E590" s="130" t="s">
        <v>290</v>
      </c>
      <c r="F590" s="66">
        <v>621000</v>
      </c>
      <c r="G590" s="18">
        <f>100%-((F590-H590)/F590)</f>
        <v>0.394524959742351</v>
      </c>
      <c r="H590" s="229">
        <v>245000</v>
      </c>
      <c r="I590" s="266">
        <v>3132</v>
      </c>
      <c r="J590" s="66">
        <v>245000</v>
      </c>
      <c r="K590" s="147"/>
      <c r="L590" s="147"/>
      <c r="M590" s="147"/>
      <c r="N590" s="147"/>
      <c r="O590" s="147"/>
      <c r="P590" s="147">
        <v>245000</v>
      </c>
      <c r="Q590" s="147"/>
      <c r="R590" s="147"/>
      <c r="S590" s="147"/>
      <c r="T590" s="147"/>
      <c r="U590" s="147"/>
      <c r="V590" s="147"/>
      <c r="W590" s="147"/>
      <c r="X590" s="221">
        <f t="shared" si="72"/>
        <v>245000</v>
      </c>
    </row>
    <row r="591" spans="2:24" ht="15.75">
      <c r="B591" s="303" t="s">
        <v>817</v>
      </c>
      <c r="C591" s="303" t="s">
        <v>830</v>
      </c>
      <c r="D591" s="307" t="s">
        <v>829</v>
      </c>
      <c r="E591" s="94"/>
      <c r="F591" s="76"/>
      <c r="G591" s="99"/>
      <c r="H591" s="235"/>
      <c r="I591" s="266"/>
      <c r="J591" s="222">
        <f>SUM(J592:J602)</f>
        <v>1277593.17</v>
      </c>
      <c r="K591" s="222">
        <f aca="true" t="shared" si="85" ref="K591:W591">SUM(K592:K602)</f>
        <v>0</v>
      </c>
      <c r="L591" s="222">
        <f t="shared" si="85"/>
        <v>972193.17</v>
      </c>
      <c r="M591" s="222">
        <f t="shared" si="85"/>
        <v>0</v>
      </c>
      <c r="N591" s="222">
        <f t="shared" si="85"/>
        <v>0</v>
      </c>
      <c r="O591" s="222">
        <f t="shared" si="85"/>
        <v>45400</v>
      </c>
      <c r="P591" s="222">
        <f t="shared" si="85"/>
        <v>120000</v>
      </c>
      <c r="Q591" s="222">
        <f t="shared" si="85"/>
        <v>140000</v>
      </c>
      <c r="R591" s="222">
        <f t="shared" si="85"/>
        <v>0</v>
      </c>
      <c r="S591" s="222">
        <f t="shared" si="85"/>
        <v>0</v>
      </c>
      <c r="T591" s="222">
        <f t="shared" si="85"/>
        <v>0</v>
      </c>
      <c r="U591" s="222">
        <f t="shared" si="85"/>
        <v>0</v>
      </c>
      <c r="V591" s="222">
        <f t="shared" si="85"/>
        <v>0</v>
      </c>
      <c r="W591" s="222">
        <f t="shared" si="85"/>
        <v>839002.14</v>
      </c>
      <c r="X591" s="221">
        <f t="shared" si="72"/>
        <v>438591.0299999999</v>
      </c>
    </row>
    <row r="592" spans="2:24" ht="63">
      <c r="B592" s="304"/>
      <c r="C592" s="304"/>
      <c r="D592" s="308"/>
      <c r="E592" s="12" t="s">
        <v>835</v>
      </c>
      <c r="F592" s="76">
        <v>1058633</v>
      </c>
      <c r="G592" s="18">
        <f aca="true" t="shared" si="86" ref="G592:G599">100%-((F592-H592)/F592)</f>
        <v>0.3542304084607225</v>
      </c>
      <c r="H592" s="235">
        <v>375000</v>
      </c>
      <c r="I592" s="266">
        <v>3132</v>
      </c>
      <c r="J592" s="9">
        <v>4969.61</v>
      </c>
      <c r="K592" s="147"/>
      <c r="L592" s="9">
        <v>4969.61</v>
      </c>
      <c r="M592" s="147"/>
      <c r="N592" s="147"/>
      <c r="O592" s="147"/>
      <c r="P592" s="147"/>
      <c r="Q592" s="147"/>
      <c r="R592" s="147"/>
      <c r="S592" s="147"/>
      <c r="T592" s="147"/>
      <c r="U592" s="147"/>
      <c r="V592" s="147"/>
      <c r="W592" s="147">
        <v>4969.61</v>
      </c>
      <c r="X592" s="221">
        <f t="shared" si="72"/>
        <v>0</v>
      </c>
    </row>
    <row r="593" spans="2:24" ht="63">
      <c r="B593" s="304"/>
      <c r="C593" s="304"/>
      <c r="D593" s="308"/>
      <c r="E593" s="12" t="s">
        <v>553</v>
      </c>
      <c r="F593" s="76">
        <v>207154</v>
      </c>
      <c r="G593" s="18">
        <f t="shared" si="86"/>
        <v>0.42774525232435767</v>
      </c>
      <c r="H593" s="235">
        <v>88609.14</v>
      </c>
      <c r="I593" s="266">
        <v>3132</v>
      </c>
      <c r="J593" s="9">
        <v>88209.14</v>
      </c>
      <c r="K593" s="147"/>
      <c r="L593" s="9">
        <v>88209.14</v>
      </c>
      <c r="M593" s="147"/>
      <c r="N593" s="147"/>
      <c r="O593" s="147"/>
      <c r="P593" s="147"/>
      <c r="Q593" s="147"/>
      <c r="R593" s="147"/>
      <c r="S593" s="147"/>
      <c r="T593" s="147"/>
      <c r="U593" s="147"/>
      <c r="V593" s="147"/>
      <c r="W593" s="147">
        <v>88209.14</v>
      </c>
      <c r="X593" s="221">
        <f t="shared" si="72"/>
        <v>0</v>
      </c>
    </row>
    <row r="594" spans="2:24" ht="63">
      <c r="B594" s="304"/>
      <c r="C594" s="304"/>
      <c r="D594" s="308"/>
      <c r="E594" s="12" t="s">
        <v>554</v>
      </c>
      <c r="F594" s="76">
        <v>336363</v>
      </c>
      <c r="G594" s="18">
        <f t="shared" si="86"/>
        <v>0.12308146258655084</v>
      </c>
      <c r="H594" s="235">
        <v>41400.05</v>
      </c>
      <c r="I594" s="266">
        <v>3132</v>
      </c>
      <c r="J594" s="9">
        <v>11801.35</v>
      </c>
      <c r="K594" s="147"/>
      <c r="L594" s="9">
        <v>11801.35</v>
      </c>
      <c r="M594" s="147"/>
      <c r="N594" s="147"/>
      <c r="O594" s="147"/>
      <c r="P594" s="147"/>
      <c r="Q594" s="147"/>
      <c r="R594" s="147"/>
      <c r="S594" s="147"/>
      <c r="T594" s="147"/>
      <c r="U594" s="147"/>
      <c r="V594" s="147"/>
      <c r="W594" s="147">
        <v>11801.35</v>
      </c>
      <c r="X594" s="221">
        <f t="shared" si="72"/>
        <v>0</v>
      </c>
    </row>
    <row r="595" spans="2:24" ht="63">
      <c r="B595" s="304"/>
      <c r="C595" s="304"/>
      <c r="D595" s="308"/>
      <c r="E595" s="12" t="s">
        <v>259</v>
      </c>
      <c r="F595" s="76">
        <v>409098</v>
      </c>
      <c r="G595" s="18">
        <f t="shared" si="86"/>
        <v>0.003103412874176814</v>
      </c>
      <c r="H595" s="235">
        <v>1269.6</v>
      </c>
      <c r="I595" s="266">
        <v>3132</v>
      </c>
      <c r="J595" s="9">
        <v>407828.4</v>
      </c>
      <c r="K595" s="147"/>
      <c r="L595" s="9">
        <v>407828.4</v>
      </c>
      <c r="M595" s="147"/>
      <c r="N595" s="147"/>
      <c r="O595" s="147"/>
      <c r="P595" s="147"/>
      <c r="Q595" s="147"/>
      <c r="R595" s="147"/>
      <c r="S595" s="147"/>
      <c r="T595" s="147"/>
      <c r="U595" s="147"/>
      <c r="V595" s="147"/>
      <c r="W595" s="147">
        <v>407828.4</v>
      </c>
      <c r="X595" s="221">
        <f t="shared" si="72"/>
        <v>0</v>
      </c>
    </row>
    <row r="596" spans="2:24" ht="63">
      <c r="B596" s="304"/>
      <c r="C596" s="304"/>
      <c r="D596" s="308"/>
      <c r="E596" s="12" t="s">
        <v>260</v>
      </c>
      <c r="F596" s="76">
        <v>499168</v>
      </c>
      <c r="G596" s="18">
        <f t="shared" si="86"/>
        <v>0.0321609357971665</v>
      </c>
      <c r="H596" s="235">
        <v>16053.71</v>
      </c>
      <c r="I596" s="266">
        <v>3132</v>
      </c>
      <c r="J596" s="9">
        <v>246438.89</v>
      </c>
      <c r="K596" s="147"/>
      <c r="L596" s="9">
        <v>246438.89</v>
      </c>
      <c r="M596" s="147"/>
      <c r="N596" s="147"/>
      <c r="O596" s="147"/>
      <c r="P596" s="147"/>
      <c r="Q596" s="147"/>
      <c r="R596" s="147"/>
      <c r="S596" s="147"/>
      <c r="T596" s="147"/>
      <c r="U596" s="147"/>
      <c r="V596" s="147"/>
      <c r="W596" s="147">
        <v>246438.89</v>
      </c>
      <c r="X596" s="221">
        <f t="shared" si="72"/>
        <v>0</v>
      </c>
    </row>
    <row r="597" spans="2:24" ht="78.75">
      <c r="B597" s="304"/>
      <c r="C597" s="304"/>
      <c r="D597" s="308"/>
      <c r="E597" s="12" t="s">
        <v>836</v>
      </c>
      <c r="F597" s="76">
        <v>248770</v>
      </c>
      <c r="G597" s="18">
        <f t="shared" si="86"/>
        <v>0.08337271375165822</v>
      </c>
      <c r="H597" s="235">
        <v>20740.63</v>
      </c>
      <c r="I597" s="266">
        <v>3132</v>
      </c>
      <c r="J597" s="9">
        <v>555</v>
      </c>
      <c r="K597" s="147"/>
      <c r="L597" s="9">
        <v>555</v>
      </c>
      <c r="M597" s="147"/>
      <c r="N597" s="147"/>
      <c r="O597" s="147"/>
      <c r="P597" s="147"/>
      <c r="Q597" s="147"/>
      <c r="R597" s="147"/>
      <c r="S597" s="147"/>
      <c r="T597" s="147"/>
      <c r="U597" s="147"/>
      <c r="V597" s="147"/>
      <c r="W597" s="147">
        <v>555</v>
      </c>
      <c r="X597" s="221">
        <f t="shared" si="72"/>
        <v>0</v>
      </c>
    </row>
    <row r="598" spans="2:24" ht="63">
      <c r="B598" s="304"/>
      <c r="C598" s="304"/>
      <c r="D598" s="308"/>
      <c r="E598" s="12" t="s">
        <v>552</v>
      </c>
      <c r="F598" s="76">
        <v>1058633</v>
      </c>
      <c r="G598" s="18">
        <f t="shared" si="86"/>
        <v>0.3542304084607225</v>
      </c>
      <c r="H598" s="235">
        <v>375000</v>
      </c>
      <c r="I598" s="266">
        <v>3132</v>
      </c>
      <c r="J598" s="9">
        <v>182390.78</v>
      </c>
      <c r="K598" s="147"/>
      <c r="L598" s="9">
        <v>182390.78</v>
      </c>
      <c r="M598" s="147"/>
      <c r="N598" s="147"/>
      <c r="O598" s="147"/>
      <c r="P598" s="147"/>
      <c r="Q598" s="147"/>
      <c r="R598" s="147"/>
      <c r="S598" s="147"/>
      <c r="T598" s="147"/>
      <c r="U598" s="147"/>
      <c r="V598" s="147"/>
      <c r="W598" s="147">
        <f>182390.78-182390.78</f>
        <v>0</v>
      </c>
      <c r="X598" s="221">
        <f t="shared" si="72"/>
        <v>182390.78</v>
      </c>
    </row>
    <row r="599" spans="2:24" ht="63">
      <c r="B599" s="304"/>
      <c r="C599" s="304"/>
      <c r="D599" s="308"/>
      <c r="E599" s="10" t="s">
        <v>261</v>
      </c>
      <c r="F599" s="76">
        <v>105000</v>
      </c>
      <c r="G599" s="18">
        <f t="shared" si="86"/>
        <v>1</v>
      </c>
      <c r="H599" s="235">
        <v>105000</v>
      </c>
      <c r="I599" s="266">
        <v>3132</v>
      </c>
      <c r="J599" s="9">
        <v>30000</v>
      </c>
      <c r="K599" s="147"/>
      <c r="L599" s="9">
        <v>30000</v>
      </c>
      <c r="M599" s="147"/>
      <c r="N599" s="147"/>
      <c r="O599" s="147"/>
      <c r="P599" s="147"/>
      <c r="Q599" s="147"/>
      <c r="R599" s="147"/>
      <c r="S599" s="147"/>
      <c r="T599" s="147"/>
      <c r="U599" s="147"/>
      <c r="V599" s="147"/>
      <c r="W599" s="147">
        <v>30000</v>
      </c>
      <c r="X599" s="221">
        <f t="shared" si="72"/>
        <v>0</v>
      </c>
    </row>
    <row r="600" spans="2:24" ht="47.25">
      <c r="B600" s="304"/>
      <c r="C600" s="304"/>
      <c r="D600" s="308"/>
      <c r="E600" s="130" t="s">
        <v>291</v>
      </c>
      <c r="F600" s="66">
        <v>207154</v>
      </c>
      <c r="G600" s="18">
        <f>100%-((F600-H600)/F600)</f>
        <v>0.0019309306120084413</v>
      </c>
      <c r="H600" s="229">
        <v>400</v>
      </c>
      <c r="I600" s="266">
        <v>3132</v>
      </c>
      <c r="J600" s="66">
        <v>400</v>
      </c>
      <c r="K600" s="147"/>
      <c r="L600" s="147"/>
      <c r="M600" s="147"/>
      <c r="N600" s="147"/>
      <c r="O600" s="147">
        <v>400</v>
      </c>
      <c r="P600" s="147"/>
      <c r="Q600" s="147"/>
      <c r="R600" s="147"/>
      <c r="S600" s="147"/>
      <c r="T600" s="147"/>
      <c r="U600" s="147"/>
      <c r="V600" s="147"/>
      <c r="W600" s="147"/>
      <c r="X600" s="221">
        <f t="shared" si="72"/>
        <v>400</v>
      </c>
    </row>
    <row r="601" spans="2:24" ht="63">
      <c r="B601" s="304"/>
      <c r="C601" s="304"/>
      <c r="D601" s="308"/>
      <c r="E601" s="130" t="s">
        <v>292</v>
      </c>
      <c r="F601" s="66">
        <v>105000</v>
      </c>
      <c r="G601" s="18">
        <f aca="true" t="shared" si="87" ref="G601:G606">100%-((F601-H601)/F601)</f>
        <v>1</v>
      </c>
      <c r="H601" s="229">
        <v>105000</v>
      </c>
      <c r="I601" s="266">
        <v>3132</v>
      </c>
      <c r="J601" s="66">
        <v>105000</v>
      </c>
      <c r="K601" s="147"/>
      <c r="L601" s="147"/>
      <c r="M601" s="147"/>
      <c r="N601" s="147"/>
      <c r="O601" s="147">
        <v>45000</v>
      </c>
      <c r="P601" s="147">
        <v>20000</v>
      </c>
      <c r="Q601" s="147">
        <v>40000</v>
      </c>
      <c r="R601" s="147"/>
      <c r="S601" s="147"/>
      <c r="T601" s="147"/>
      <c r="U601" s="147"/>
      <c r="V601" s="147"/>
      <c r="W601" s="147">
        <f>40927.75+6080+2192</f>
        <v>49199.75</v>
      </c>
      <c r="X601" s="221">
        <f t="shared" si="72"/>
        <v>55800.25</v>
      </c>
    </row>
    <row r="602" spans="2:24" ht="47.25">
      <c r="B602" s="306"/>
      <c r="C602" s="306"/>
      <c r="D602" s="310"/>
      <c r="E602" s="130" t="s">
        <v>293</v>
      </c>
      <c r="F602" s="66">
        <v>200000</v>
      </c>
      <c r="G602" s="18">
        <f t="shared" si="87"/>
        <v>1</v>
      </c>
      <c r="H602" s="229">
        <v>200000</v>
      </c>
      <c r="I602" s="266">
        <v>3132</v>
      </c>
      <c r="J602" s="66">
        <v>200000</v>
      </c>
      <c r="K602" s="147"/>
      <c r="L602" s="147"/>
      <c r="M602" s="147"/>
      <c r="N602" s="147"/>
      <c r="O602" s="147"/>
      <c r="P602" s="147">
        <v>100000</v>
      </c>
      <c r="Q602" s="147">
        <v>100000</v>
      </c>
      <c r="R602" s="147"/>
      <c r="S602" s="147"/>
      <c r="T602" s="147"/>
      <c r="U602" s="147"/>
      <c r="V602" s="147"/>
      <c r="W602" s="147"/>
      <c r="X602" s="221">
        <f t="shared" si="72"/>
        <v>200000</v>
      </c>
    </row>
    <row r="603" spans="2:24" ht="15.75">
      <c r="B603" s="303" t="s">
        <v>833</v>
      </c>
      <c r="C603" s="303" t="s">
        <v>386</v>
      </c>
      <c r="D603" s="307" t="s">
        <v>387</v>
      </c>
      <c r="E603" s="94"/>
      <c r="F603" s="76"/>
      <c r="G603" s="99"/>
      <c r="H603" s="235"/>
      <c r="I603" s="266"/>
      <c r="J603" s="222">
        <f>J604</f>
        <v>1502.62</v>
      </c>
      <c r="K603" s="222">
        <f aca="true" t="shared" si="88" ref="K603:W603">K604</f>
        <v>0</v>
      </c>
      <c r="L603" s="222">
        <f t="shared" si="88"/>
        <v>1502.62</v>
      </c>
      <c r="M603" s="222">
        <f t="shared" si="88"/>
        <v>0</v>
      </c>
      <c r="N603" s="222">
        <f t="shared" si="88"/>
        <v>0</v>
      </c>
      <c r="O603" s="222">
        <f t="shared" si="88"/>
        <v>0</v>
      </c>
      <c r="P603" s="222">
        <f t="shared" si="88"/>
        <v>0</v>
      </c>
      <c r="Q603" s="222">
        <f t="shared" si="88"/>
        <v>0</v>
      </c>
      <c r="R603" s="222">
        <f t="shared" si="88"/>
        <v>0</v>
      </c>
      <c r="S603" s="222">
        <f t="shared" si="88"/>
        <v>0</v>
      </c>
      <c r="T603" s="222">
        <f t="shared" si="88"/>
        <v>0</v>
      </c>
      <c r="U603" s="222">
        <f t="shared" si="88"/>
        <v>0</v>
      </c>
      <c r="V603" s="222">
        <f t="shared" si="88"/>
        <v>0</v>
      </c>
      <c r="W603" s="222">
        <f t="shared" si="88"/>
        <v>1502.62</v>
      </c>
      <c r="X603" s="221">
        <f aca="true" t="shared" si="89" ref="X603:X666">K603+L603+M603+N603+O603+P603+Q603+R603-W603</f>
        <v>0</v>
      </c>
    </row>
    <row r="604" spans="2:24" ht="110.25">
      <c r="B604" s="306"/>
      <c r="C604" s="306"/>
      <c r="D604" s="310"/>
      <c r="E604" s="10" t="s">
        <v>262</v>
      </c>
      <c r="F604" s="76">
        <v>91696</v>
      </c>
      <c r="G604" s="18">
        <f t="shared" si="87"/>
        <v>0.016386974350026118</v>
      </c>
      <c r="H604" s="235">
        <v>1502.62</v>
      </c>
      <c r="I604" s="266">
        <v>3132</v>
      </c>
      <c r="J604" s="76">
        <v>1502.62</v>
      </c>
      <c r="K604" s="147"/>
      <c r="L604" s="76">
        <v>1502.62</v>
      </c>
      <c r="M604" s="147"/>
      <c r="N604" s="147"/>
      <c r="O604" s="147"/>
      <c r="P604" s="147"/>
      <c r="Q604" s="147"/>
      <c r="R604" s="147"/>
      <c r="S604" s="147"/>
      <c r="T604" s="147"/>
      <c r="U604" s="147"/>
      <c r="V604" s="147"/>
      <c r="W604" s="147">
        <v>1502.62</v>
      </c>
      <c r="X604" s="221">
        <f t="shared" si="89"/>
        <v>0</v>
      </c>
    </row>
    <row r="605" spans="2:24" ht="15.75">
      <c r="B605" s="311" t="s">
        <v>456</v>
      </c>
      <c r="C605" s="311" t="s">
        <v>255</v>
      </c>
      <c r="D605" s="307" t="s">
        <v>843</v>
      </c>
      <c r="E605" s="131"/>
      <c r="F605" s="102"/>
      <c r="G605" s="132"/>
      <c r="H605" s="252"/>
      <c r="I605" s="266"/>
      <c r="J605" s="222">
        <f>J606</f>
        <v>100000</v>
      </c>
      <c r="K605" s="222">
        <f aca="true" t="shared" si="90" ref="K605:W605">K606</f>
        <v>0</v>
      </c>
      <c r="L605" s="222">
        <f t="shared" si="90"/>
        <v>0</v>
      </c>
      <c r="M605" s="222">
        <f t="shared" si="90"/>
        <v>0</v>
      </c>
      <c r="N605" s="222">
        <f t="shared" si="90"/>
        <v>0</v>
      </c>
      <c r="O605" s="222">
        <f t="shared" si="90"/>
        <v>0</v>
      </c>
      <c r="P605" s="222">
        <f t="shared" si="90"/>
        <v>50000</v>
      </c>
      <c r="Q605" s="222">
        <f t="shared" si="90"/>
        <v>0</v>
      </c>
      <c r="R605" s="222">
        <f t="shared" si="90"/>
        <v>0</v>
      </c>
      <c r="S605" s="222">
        <f t="shared" si="90"/>
        <v>50000</v>
      </c>
      <c r="T605" s="222">
        <f t="shared" si="90"/>
        <v>0</v>
      </c>
      <c r="U605" s="222">
        <f t="shared" si="90"/>
        <v>0</v>
      </c>
      <c r="V605" s="222">
        <f t="shared" si="90"/>
        <v>0</v>
      </c>
      <c r="W605" s="222">
        <f t="shared" si="90"/>
        <v>0</v>
      </c>
      <c r="X605" s="221">
        <f t="shared" si="89"/>
        <v>50000</v>
      </c>
    </row>
    <row r="606" spans="2:24" ht="63">
      <c r="B606" s="312"/>
      <c r="C606" s="312"/>
      <c r="D606" s="308"/>
      <c r="E606" s="130" t="s">
        <v>294</v>
      </c>
      <c r="F606" s="66">
        <v>45000</v>
      </c>
      <c r="G606" s="18">
        <f t="shared" si="87"/>
        <v>1</v>
      </c>
      <c r="H606" s="229">
        <v>45000</v>
      </c>
      <c r="I606" s="266">
        <v>3131</v>
      </c>
      <c r="J606" s="66">
        <v>100000</v>
      </c>
      <c r="K606" s="147"/>
      <c r="L606" s="147"/>
      <c r="M606" s="147"/>
      <c r="N606" s="147"/>
      <c r="O606" s="147"/>
      <c r="P606" s="147">
        <v>50000</v>
      </c>
      <c r="Q606" s="147"/>
      <c r="R606" s="147"/>
      <c r="S606" s="147">
        <v>50000</v>
      </c>
      <c r="T606" s="147"/>
      <c r="U606" s="147"/>
      <c r="V606" s="147"/>
      <c r="W606" s="147"/>
      <c r="X606" s="221">
        <f t="shared" si="89"/>
        <v>50000</v>
      </c>
    </row>
    <row r="607" spans="2:24" ht="15.75">
      <c r="B607" s="303" t="s">
        <v>254</v>
      </c>
      <c r="C607" s="303" t="s">
        <v>257</v>
      </c>
      <c r="D607" s="307" t="s">
        <v>738</v>
      </c>
      <c r="E607" s="94"/>
      <c r="F607" s="76"/>
      <c r="G607" s="99"/>
      <c r="H607" s="235"/>
      <c r="I607" s="266"/>
      <c r="J607" s="222">
        <f>SUM(J608:J611)</f>
        <v>16862</v>
      </c>
      <c r="K607" s="222">
        <f aca="true" t="shared" si="91" ref="K607:W607">SUM(K608:K611)</f>
        <v>0</v>
      </c>
      <c r="L607" s="222">
        <f t="shared" si="91"/>
        <v>5862</v>
      </c>
      <c r="M607" s="222">
        <f t="shared" si="91"/>
        <v>0</v>
      </c>
      <c r="N607" s="222">
        <f t="shared" si="91"/>
        <v>0</v>
      </c>
      <c r="O607" s="222">
        <f t="shared" si="91"/>
        <v>30000</v>
      </c>
      <c r="P607" s="222">
        <f t="shared" si="91"/>
        <v>-19000</v>
      </c>
      <c r="Q607" s="222">
        <f t="shared" si="91"/>
        <v>0</v>
      </c>
      <c r="R607" s="222">
        <f t="shared" si="91"/>
        <v>0</v>
      </c>
      <c r="S607" s="222">
        <f t="shared" si="91"/>
        <v>0</v>
      </c>
      <c r="T607" s="222">
        <f t="shared" si="91"/>
        <v>0</v>
      </c>
      <c r="U607" s="222">
        <f t="shared" si="91"/>
        <v>0</v>
      </c>
      <c r="V607" s="222">
        <f t="shared" si="91"/>
        <v>0</v>
      </c>
      <c r="W607" s="222">
        <f t="shared" si="91"/>
        <v>15720.16</v>
      </c>
      <c r="X607" s="221">
        <f t="shared" si="89"/>
        <v>1141.8400000000001</v>
      </c>
    </row>
    <row r="608" spans="2:24" ht="78.75">
      <c r="B608" s="304"/>
      <c r="C608" s="304"/>
      <c r="D608" s="308"/>
      <c r="E608" s="12" t="s">
        <v>73</v>
      </c>
      <c r="F608" s="76">
        <v>970391</v>
      </c>
      <c r="G608" s="18">
        <f>100%-((F608-H608)/F608)</f>
        <v>0.015457686643837398</v>
      </c>
      <c r="H608" s="235">
        <v>15000</v>
      </c>
      <c r="I608" s="266">
        <v>3132</v>
      </c>
      <c r="J608" s="9">
        <v>5022</v>
      </c>
      <c r="K608" s="147"/>
      <c r="L608" s="9">
        <v>5022</v>
      </c>
      <c r="M608" s="147"/>
      <c r="N608" s="147"/>
      <c r="O608" s="147"/>
      <c r="P608" s="147"/>
      <c r="Q608" s="147"/>
      <c r="R608" s="147"/>
      <c r="S608" s="147"/>
      <c r="T608" s="147"/>
      <c r="U608" s="147"/>
      <c r="V608" s="147"/>
      <c r="W608" s="147">
        <v>5022</v>
      </c>
      <c r="X608" s="221">
        <f t="shared" si="89"/>
        <v>0</v>
      </c>
    </row>
    <row r="609" spans="2:24" ht="78.75">
      <c r="B609" s="304"/>
      <c r="C609" s="304"/>
      <c r="D609" s="308"/>
      <c r="E609" s="10" t="s">
        <v>555</v>
      </c>
      <c r="F609" s="76">
        <v>699638</v>
      </c>
      <c r="G609" s="18">
        <f>100%-((F609-H609)/F609)</f>
        <v>0.04890191784894471</v>
      </c>
      <c r="H609" s="235">
        <v>34213.64</v>
      </c>
      <c r="I609" s="266">
        <v>3132</v>
      </c>
      <c r="J609" s="9">
        <v>840</v>
      </c>
      <c r="K609" s="147"/>
      <c r="L609" s="9">
        <v>840</v>
      </c>
      <c r="M609" s="147"/>
      <c r="N609" s="147"/>
      <c r="O609" s="147"/>
      <c r="P609" s="147"/>
      <c r="Q609" s="147"/>
      <c r="R609" s="147"/>
      <c r="S609" s="147"/>
      <c r="T609" s="147"/>
      <c r="U609" s="147"/>
      <c r="V609" s="147"/>
      <c r="W609" s="147">
        <v>840</v>
      </c>
      <c r="X609" s="221">
        <f t="shared" si="89"/>
        <v>0</v>
      </c>
    </row>
    <row r="610" spans="2:24" ht="63">
      <c r="B610" s="304"/>
      <c r="C610" s="304"/>
      <c r="D610" s="308"/>
      <c r="E610" s="10" t="s">
        <v>295</v>
      </c>
      <c r="F610" s="76">
        <v>699638</v>
      </c>
      <c r="G610" s="18">
        <f>100%-((F610-H610)/F610)</f>
        <v>0.04890191784894471</v>
      </c>
      <c r="H610" s="235">
        <v>34213.64</v>
      </c>
      <c r="I610" s="266">
        <v>3132</v>
      </c>
      <c r="J610" s="9">
        <f>15000-4500</f>
        <v>10500</v>
      </c>
      <c r="K610" s="147"/>
      <c r="L610" s="147"/>
      <c r="M610" s="147"/>
      <c r="N610" s="147"/>
      <c r="O610" s="147">
        <v>15000</v>
      </c>
      <c r="P610" s="147">
        <v>-4500</v>
      </c>
      <c r="Q610" s="147"/>
      <c r="R610" s="147"/>
      <c r="S610" s="147"/>
      <c r="T610" s="147"/>
      <c r="U610" s="147"/>
      <c r="V610" s="147"/>
      <c r="W610" s="147">
        <v>9779.69</v>
      </c>
      <c r="X610" s="221">
        <f t="shared" si="89"/>
        <v>720.3099999999995</v>
      </c>
    </row>
    <row r="611" spans="2:24" ht="63">
      <c r="B611" s="306"/>
      <c r="C611" s="306"/>
      <c r="D611" s="310"/>
      <c r="E611" s="130" t="s">
        <v>296</v>
      </c>
      <c r="F611" s="66">
        <v>970391</v>
      </c>
      <c r="G611" s="18">
        <f>100%-((F611-H611)/F611)</f>
        <v>0.015457686643837398</v>
      </c>
      <c r="H611" s="229">
        <v>15000</v>
      </c>
      <c r="I611" s="266">
        <v>3132</v>
      </c>
      <c r="J611" s="66">
        <f>15000-14500</f>
        <v>500</v>
      </c>
      <c r="K611" s="147"/>
      <c r="L611" s="147"/>
      <c r="M611" s="147"/>
      <c r="N611" s="147"/>
      <c r="O611" s="147">
        <v>15000</v>
      </c>
      <c r="P611" s="147">
        <v>-14500</v>
      </c>
      <c r="Q611" s="147"/>
      <c r="R611" s="147"/>
      <c r="S611" s="147"/>
      <c r="T611" s="147"/>
      <c r="U611" s="147"/>
      <c r="V611" s="147"/>
      <c r="W611" s="147">
        <v>78.47</v>
      </c>
      <c r="X611" s="221">
        <f t="shared" si="89"/>
        <v>421.53</v>
      </c>
    </row>
    <row r="612" spans="2:24" ht="15.75">
      <c r="B612" s="303" t="s">
        <v>35</v>
      </c>
      <c r="C612" s="303" t="s">
        <v>37</v>
      </c>
      <c r="D612" s="307" t="s">
        <v>39</v>
      </c>
      <c r="E612" s="94"/>
      <c r="F612" s="76"/>
      <c r="G612" s="99"/>
      <c r="H612" s="235"/>
      <c r="I612" s="266"/>
      <c r="J612" s="222">
        <f>SUM(J613:J615)</f>
        <v>110825.45</v>
      </c>
      <c r="K612" s="222">
        <f aca="true" t="shared" si="92" ref="K612:W612">SUM(K613:K615)</f>
        <v>0</v>
      </c>
      <c r="L612" s="222">
        <f t="shared" si="92"/>
        <v>108825.45</v>
      </c>
      <c r="M612" s="222">
        <f t="shared" si="92"/>
        <v>0</v>
      </c>
      <c r="N612" s="222">
        <f t="shared" si="92"/>
        <v>0</v>
      </c>
      <c r="O612" s="222">
        <f t="shared" si="92"/>
        <v>15000</v>
      </c>
      <c r="P612" s="222">
        <f t="shared" si="92"/>
        <v>-13000</v>
      </c>
      <c r="Q612" s="222">
        <f t="shared" si="92"/>
        <v>0</v>
      </c>
      <c r="R612" s="222">
        <f t="shared" si="92"/>
        <v>0</v>
      </c>
      <c r="S612" s="222">
        <f t="shared" si="92"/>
        <v>0</v>
      </c>
      <c r="T612" s="222">
        <f t="shared" si="92"/>
        <v>0</v>
      </c>
      <c r="U612" s="222">
        <f t="shared" si="92"/>
        <v>0</v>
      </c>
      <c r="V612" s="222">
        <f t="shared" si="92"/>
        <v>0</v>
      </c>
      <c r="W612" s="222">
        <f t="shared" si="92"/>
        <v>110289.83</v>
      </c>
      <c r="X612" s="221">
        <f t="shared" si="89"/>
        <v>535.6199999999953</v>
      </c>
    </row>
    <row r="613" spans="2:24" ht="78.75">
      <c r="B613" s="304"/>
      <c r="C613" s="304"/>
      <c r="D613" s="308"/>
      <c r="E613" s="12" t="s">
        <v>837</v>
      </c>
      <c r="F613" s="76">
        <v>998712</v>
      </c>
      <c r="G613" s="18">
        <f>100%-((F613-H613)/F613)</f>
        <v>0.055397501982553554</v>
      </c>
      <c r="H613" s="235">
        <v>55326.15</v>
      </c>
      <c r="I613" s="266">
        <v>3132</v>
      </c>
      <c r="J613" s="9">
        <v>11452.65</v>
      </c>
      <c r="K613" s="147"/>
      <c r="L613" s="9">
        <v>11452.65</v>
      </c>
      <c r="M613" s="147"/>
      <c r="N613" s="147"/>
      <c r="O613" s="147"/>
      <c r="P613" s="147"/>
      <c r="Q613" s="147"/>
      <c r="R613" s="147"/>
      <c r="S613" s="147"/>
      <c r="T613" s="147"/>
      <c r="U613" s="147"/>
      <c r="V613" s="147"/>
      <c r="W613" s="147">
        <v>11452.65</v>
      </c>
      <c r="X613" s="221">
        <f t="shared" si="89"/>
        <v>0</v>
      </c>
    </row>
    <row r="614" spans="2:24" ht="78.75">
      <c r="B614" s="304"/>
      <c r="C614" s="304"/>
      <c r="D614" s="308"/>
      <c r="E614" s="12" t="s">
        <v>556</v>
      </c>
      <c r="F614" s="76">
        <v>587436</v>
      </c>
      <c r="G614" s="18">
        <f>100%-((F614-H614)/F614)</f>
        <v>0.025534696545666202</v>
      </c>
      <c r="H614" s="235">
        <v>15000</v>
      </c>
      <c r="I614" s="266">
        <v>3132</v>
      </c>
      <c r="J614" s="9">
        <v>97372.8</v>
      </c>
      <c r="K614" s="147"/>
      <c r="L614" s="9">
        <v>97372.8</v>
      </c>
      <c r="M614" s="147"/>
      <c r="N614" s="147"/>
      <c r="O614" s="147"/>
      <c r="P614" s="147"/>
      <c r="Q614" s="147"/>
      <c r="R614" s="147"/>
      <c r="S614" s="147"/>
      <c r="T614" s="147"/>
      <c r="U614" s="147"/>
      <c r="V614" s="147"/>
      <c r="W614" s="147">
        <v>97372.8</v>
      </c>
      <c r="X614" s="221">
        <f t="shared" si="89"/>
        <v>0</v>
      </c>
    </row>
    <row r="615" spans="2:24" ht="63">
      <c r="B615" s="306"/>
      <c r="C615" s="306"/>
      <c r="D615" s="310"/>
      <c r="E615" s="130" t="s">
        <v>712</v>
      </c>
      <c r="F615" s="66">
        <v>587436</v>
      </c>
      <c r="G615" s="18">
        <f>100%-((F615-H615)/F615)</f>
        <v>0.025534696545666202</v>
      </c>
      <c r="H615" s="229">
        <v>15000</v>
      </c>
      <c r="I615" s="266">
        <v>3132</v>
      </c>
      <c r="J615" s="66">
        <f>15000-13000</f>
        <v>2000</v>
      </c>
      <c r="K615" s="147"/>
      <c r="L615" s="147"/>
      <c r="M615" s="147"/>
      <c r="N615" s="147"/>
      <c r="O615" s="147">
        <v>15000</v>
      </c>
      <c r="P615" s="147">
        <v>-13000</v>
      </c>
      <c r="Q615" s="147"/>
      <c r="R615" s="147"/>
      <c r="S615" s="147"/>
      <c r="T615" s="147"/>
      <c r="U615" s="147"/>
      <c r="V615" s="147"/>
      <c r="W615" s="147">
        <v>1464.38</v>
      </c>
      <c r="X615" s="221">
        <f t="shared" si="89"/>
        <v>535.6199999999999</v>
      </c>
    </row>
    <row r="616" spans="2:24" ht="15.75">
      <c r="B616" s="303" t="s">
        <v>352</v>
      </c>
      <c r="C616" s="303" t="s">
        <v>353</v>
      </c>
      <c r="D616" s="307" t="s">
        <v>41</v>
      </c>
      <c r="E616" s="94"/>
      <c r="F616" s="76"/>
      <c r="G616" s="99"/>
      <c r="H616" s="235"/>
      <c r="I616" s="266"/>
      <c r="J616" s="222">
        <f>SUM(J617:J667)</f>
        <v>9679523.84</v>
      </c>
      <c r="K616" s="222">
        <f aca="true" t="shared" si="93" ref="K616:W616">SUM(K617:K667)</f>
        <v>0</v>
      </c>
      <c r="L616" s="222">
        <f t="shared" si="93"/>
        <v>2384258.84</v>
      </c>
      <c r="M616" s="222">
        <f t="shared" si="93"/>
        <v>0</v>
      </c>
      <c r="N616" s="222">
        <f t="shared" si="93"/>
        <v>0</v>
      </c>
      <c r="O616" s="222">
        <f t="shared" si="93"/>
        <v>1267765</v>
      </c>
      <c r="P616" s="222">
        <f t="shared" si="93"/>
        <v>2326500</v>
      </c>
      <c r="Q616" s="222">
        <f t="shared" si="93"/>
        <v>1554000</v>
      </c>
      <c r="R616" s="222">
        <f t="shared" si="93"/>
        <v>1280000</v>
      </c>
      <c r="S616" s="222">
        <f t="shared" si="93"/>
        <v>367000</v>
      </c>
      <c r="T616" s="222">
        <f t="shared" si="93"/>
        <v>100000</v>
      </c>
      <c r="U616" s="222">
        <f t="shared" si="93"/>
        <v>400000</v>
      </c>
      <c r="V616" s="222">
        <f t="shared" si="93"/>
        <v>0</v>
      </c>
      <c r="W616" s="222">
        <f t="shared" si="93"/>
        <v>4768033.789999999</v>
      </c>
      <c r="X616" s="221">
        <f t="shared" si="89"/>
        <v>4044490.0500000007</v>
      </c>
    </row>
    <row r="617" spans="2:24" ht="78.75">
      <c r="B617" s="304"/>
      <c r="C617" s="304"/>
      <c r="D617" s="308"/>
      <c r="E617" s="19" t="s">
        <v>838</v>
      </c>
      <c r="F617" s="76">
        <v>652288</v>
      </c>
      <c r="G617" s="18">
        <f>100%-((F617-H617)/F617)</f>
        <v>0.58687849538854</v>
      </c>
      <c r="H617" s="235">
        <v>382813.8</v>
      </c>
      <c r="I617" s="266">
        <v>3142</v>
      </c>
      <c r="J617" s="9">
        <v>171</v>
      </c>
      <c r="K617" s="147"/>
      <c r="L617" s="9">
        <v>171</v>
      </c>
      <c r="M617" s="147"/>
      <c r="N617" s="147"/>
      <c r="O617" s="147"/>
      <c r="P617" s="147"/>
      <c r="Q617" s="147"/>
      <c r="R617" s="147"/>
      <c r="S617" s="147"/>
      <c r="T617" s="147"/>
      <c r="U617" s="147"/>
      <c r="V617" s="147"/>
      <c r="W617" s="147">
        <v>171</v>
      </c>
      <c r="X617" s="221">
        <f t="shared" si="89"/>
        <v>0</v>
      </c>
    </row>
    <row r="618" spans="2:24" ht="47.25">
      <c r="B618" s="304"/>
      <c r="C618" s="304"/>
      <c r="D618" s="308"/>
      <c r="E618" s="28" t="s">
        <v>419</v>
      </c>
      <c r="F618" s="32">
        <v>113744</v>
      </c>
      <c r="G618" s="18">
        <f>100%-((F618-H618)/F618)</f>
        <v>0.9613166408777606</v>
      </c>
      <c r="H618" s="253">
        <v>109344</v>
      </c>
      <c r="I618" s="270">
        <v>3142</v>
      </c>
      <c r="J618" s="9">
        <v>4400</v>
      </c>
      <c r="K618" s="147"/>
      <c r="L618" s="9">
        <v>4400</v>
      </c>
      <c r="M618" s="147"/>
      <c r="N618" s="147"/>
      <c r="O618" s="147"/>
      <c r="P618" s="147"/>
      <c r="Q618" s="147"/>
      <c r="R618" s="147"/>
      <c r="S618" s="147"/>
      <c r="T618" s="147"/>
      <c r="U618" s="147"/>
      <c r="V618" s="147"/>
      <c r="W618" s="147">
        <v>4400</v>
      </c>
      <c r="X618" s="221">
        <f t="shared" si="89"/>
        <v>0</v>
      </c>
    </row>
    <row r="619" spans="2:24" ht="63">
      <c r="B619" s="304"/>
      <c r="C619" s="304"/>
      <c r="D619" s="308"/>
      <c r="E619" s="10" t="s">
        <v>263</v>
      </c>
      <c r="F619" s="32">
        <v>307171</v>
      </c>
      <c r="G619" s="18">
        <f aca="true" t="shared" si="94" ref="G619:G715">100%-((F619-H619)/F619)</f>
        <v>0.47000999443306823</v>
      </c>
      <c r="H619" s="253">
        <v>144373.44</v>
      </c>
      <c r="I619" s="270">
        <v>3142</v>
      </c>
      <c r="J619" s="9">
        <v>58027.76</v>
      </c>
      <c r="K619" s="147"/>
      <c r="L619" s="9">
        <v>58027.76</v>
      </c>
      <c r="M619" s="147"/>
      <c r="N619" s="147"/>
      <c r="O619" s="147"/>
      <c r="P619" s="147"/>
      <c r="Q619" s="147"/>
      <c r="R619" s="147"/>
      <c r="S619" s="147"/>
      <c r="T619" s="147"/>
      <c r="U619" s="147"/>
      <c r="V619" s="147"/>
      <c r="W619" s="147">
        <v>58027.76</v>
      </c>
      <c r="X619" s="221">
        <f t="shared" si="89"/>
        <v>0</v>
      </c>
    </row>
    <row r="620" spans="2:24" ht="63">
      <c r="B620" s="304"/>
      <c r="C620" s="304"/>
      <c r="D620" s="308"/>
      <c r="E620" s="12" t="s">
        <v>264</v>
      </c>
      <c r="F620" s="32">
        <v>8189053</v>
      </c>
      <c r="G620" s="18">
        <f t="shared" si="94"/>
        <v>0.9638432734529866</v>
      </c>
      <c r="H620" s="253">
        <v>7892963.65</v>
      </c>
      <c r="I620" s="266">
        <v>3142</v>
      </c>
      <c r="J620" s="9">
        <v>62597.5</v>
      </c>
      <c r="K620" s="147"/>
      <c r="L620" s="9">
        <v>62597.5</v>
      </c>
      <c r="M620" s="147"/>
      <c r="N620" s="147"/>
      <c r="O620" s="147"/>
      <c r="P620" s="147"/>
      <c r="Q620" s="147"/>
      <c r="R620" s="147"/>
      <c r="S620" s="147"/>
      <c r="T620" s="147"/>
      <c r="U620" s="147"/>
      <c r="V620" s="147"/>
      <c r="W620" s="147">
        <v>62597.5</v>
      </c>
      <c r="X620" s="221">
        <f t="shared" si="89"/>
        <v>0</v>
      </c>
    </row>
    <row r="621" spans="2:24" ht="110.25">
      <c r="B621" s="304"/>
      <c r="C621" s="304"/>
      <c r="D621" s="308"/>
      <c r="E621" s="33" t="s">
        <v>400</v>
      </c>
      <c r="F621" s="32">
        <v>661469</v>
      </c>
      <c r="G621" s="18">
        <f t="shared" si="94"/>
        <v>0.6417878993573395</v>
      </c>
      <c r="H621" s="253">
        <v>424522.8</v>
      </c>
      <c r="I621" s="270">
        <v>3142</v>
      </c>
      <c r="J621" s="9">
        <v>424522.8</v>
      </c>
      <c r="K621" s="147"/>
      <c r="L621" s="9">
        <v>424522.8</v>
      </c>
      <c r="M621" s="147"/>
      <c r="N621" s="147"/>
      <c r="O621" s="147"/>
      <c r="P621" s="147"/>
      <c r="Q621" s="147"/>
      <c r="R621" s="147"/>
      <c r="S621" s="147"/>
      <c r="T621" s="147"/>
      <c r="U621" s="147"/>
      <c r="V621" s="147"/>
      <c r="W621" s="147">
        <v>424522.8</v>
      </c>
      <c r="X621" s="221">
        <f t="shared" si="89"/>
        <v>0</v>
      </c>
    </row>
    <row r="622" spans="2:24" ht="63">
      <c r="B622" s="304"/>
      <c r="C622" s="304"/>
      <c r="D622" s="308"/>
      <c r="E622" s="10" t="s">
        <v>401</v>
      </c>
      <c r="F622" s="32">
        <v>317569</v>
      </c>
      <c r="G622" s="18">
        <f t="shared" si="94"/>
        <v>0.9823156542357724</v>
      </c>
      <c r="H622" s="253">
        <v>311953</v>
      </c>
      <c r="I622" s="270">
        <v>3142</v>
      </c>
      <c r="J622" s="9">
        <v>5616</v>
      </c>
      <c r="K622" s="147"/>
      <c r="L622" s="9">
        <v>5616</v>
      </c>
      <c r="M622" s="147"/>
      <c r="N622" s="147"/>
      <c r="O622" s="147"/>
      <c r="P622" s="147"/>
      <c r="Q622" s="147"/>
      <c r="R622" s="147"/>
      <c r="S622" s="147"/>
      <c r="T622" s="147"/>
      <c r="U622" s="147"/>
      <c r="V622" s="147"/>
      <c r="W622" s="147">
        <v>5616</v>
      </c>
      <c r="X622" s="221">
        <f t="shared" si="89"/>
        <v>0</v>
      </c>
    </row>
    <row r="623" spans="2:24" ht="63">
      <c r="B623" s="304"/>
      <c r="C623" s="304"/>
      <c r="D623" s="308"/>
      <c r="E623" s="12" t="s">
        <v>402</v>
      </c>
      <c r="F623" s="32">
        <v>387913</v>
      </c>
      <c r="G623" s="18">
        <f t="shared" si="94"/>
        <v>0.9625147906876026</v>
      </c>
      <c r="H623" s="253">
        <v>373372</v>
      </c>
      <c r="I623" s="266">
        <v>3142</v>
      </c>
      <c r="J623" s="9">
        <v>14541</v>
      </c>
      <c r="K623" s="147"/>
      <c r="L623" s="9">
        <v>14541</v>
      </c>
      <c r="M623" s="147"/>
      <c r="N623" s="147"/>
      <c r="O623" s="147"/>
      <c r="P623" s="147"/>
      <c r="Q623" s="147"/>
      <c r="R623" s="147"/>
      <c r="S623" s="147"/>
      <c r="T623" s="147"/>
      <c r="U623" s="147"/>
      <c r="V623" s="147"/>
      <c r="W623" s="147">
        <v>14541</v>
      </c>
      <c r="X623" s="221">
        <f t="shared" si="89"/>
        <v>0</v>
      </c>
    </row>
    <row r="624" spans="2:24" ht="78.75">
      <c r="B624" s="304"/>
      <c r="C624" s="304"/>
      <c r="D624" s="308"/>
      <c r="E624" s="10" t="s">
        <v>533</v>
      </c>
      <c r="F624" s="32">
        <v>232210</v>
      </c>
      <c r="G624" s="18">
        <f t="shared" si="94"/>
        <v>0.43898884630291546</v>
      </c>
      <c r="H624" s="253">
        <v>101937.6</v>
      </c>
      <c r="I624" s="270">
        <v>3142</v>
      </c>
      <c r="J624" s="9">
        <v>101937.6</v>
      </c>
      <c r="K624" s="147"/>
      <c r="L624" s="9">
        <v>101937.6</v>
      </c>
      <c r="M624" s="147"/>
      <c r="N624" s="147"/>
      <c r="O624" s="147"/>
      <c r="P624" s="147"/>
      <c r="Q624" s="147"/>
      <c r="R624" s="147"/>
      <c r="S624" s="147"/>
      <c r="T624" s="147"/>
      <c r="U624" s="147"/>
      <c r="V624" s="147"/>
      <c r="W624" s="147">
        <v>101937.6</v>
      </c>
      <c r="X624" s="221">
        <f t="shared" si="89"/>
        <v>0</v>
      </c>
    </row>
    <row r="625" spans="2:24" ht="78.75">
      <c r="B625" s="304"/>
      <c r="C625" s="304"/>
      <c r="D625" s="308"/>
      <c r="E625" s="12" t="s">
        <v>557</v>
      </c>
      <c r="F625" s="32">
        <v>652288</v>
      </c>
      <c r="G625" s="18">
        <f t="shared" si="94"/>
        <v>0.586878618033752</v>
      </c>
      <c r="H625" s="253">
        <v>382813.88</v>
      </c>
      <c r="I625" s="270">
        <v>3142</v>
      </c>
      <c r="J625" s="9">
        <v>125059.24</v>
      </c>
      <c r="K625" s="147"/>
      <c r="L625" s="9">
        <v>125059.24</v>
      </c>
      <c r="M625" s="147"/>
      <c r="N625" s="147"/>
      <c r="O625" s="147"/>
      <c r="P625" s="147"/>
      <c r="Q625" s="147"/>
      <c r="R625" s="147"/>
      <c r="S625" s="147"/>
      <c r="T625" s="147"/>
      <c r="U625" s="147"/>
      <c r="V625" s="147"/>
      <c r="W625" s="147">
        <v>125059.24</v>
      </c>
      <c r="X625" s="221">
        <f t="shared" si="89"/>
        <v>0</v>
      </c>
    </row>
    <row r="626" spans="2:24" ht="78.75">
      <c r="B626" s="304"/>
      <c r="C626" s="304"/>
      <c r="D626" s="308"/>
      <c r="E626" s="12" t="s">
        <v>534</v>
      </c>
      <c r="F626" s="32">
        <v>1012912</v>
      </c>
      <c r="G626" s="18">
        <f t="shared" si="94"/>
        <v>0.5775623647463946</v>
      </c>
      <c r="H626" s="253">
        <v>585019.85</v>
      </c>
      <c r="I626" s="266">
        <v>3122</v>
      </c>
      <c r="J626" s="9">
        <v>585019.85</v>
      </c>
      <c r="K626" s="147"/>
      <c r="L626" s="9">
        <v>585019.85</v>
      </c>
      <c r="M626" s="147"/>
      <c r="N626" s="147"/>
      <c r="O626" s="147"/>
      <c r="P626" s="147"/>
      <c r="Q626" s="147"/>
      <c r="R626" s="147"/>
      <c r="S626" s="147"/>
      <c r="T626" s="147"/>
      <c r="U626" s="147"/>
      <c r="V626" s="147"/>
      <c r="W626" s="147">
        <v>585019.85</v>
      </c>
      <c r="X626" s="221">
        <f t="shared" si="89"/>
        <v>0</v>
      </c>
    </row>
    <row r="627" spans="2:24" ht="78.75">
      <c r="B627" s="304"/>
      <c r="C627" s="304"/>
      <c r="D627" s="308"/>
      <c r="E627" s="34" t="s">
        <v>121</v>
      </c>
      <c r="F627" s="32">
        <v>64529</v>
      </c>
      <c r="G627" s="18">
        <f t="shared" si="94"/>
        <v>0.8451229679678904</v>
      </c>
      <c r="H627" s="253">
        <v>54534.94</v>
      </c>
      <c r="I627" s="270">
        <v>3142</v>
      </c>
      <c r="J627" s="9">
        <v>9994.06</v>
      </c>
      <c r="K627" s="147"/>
      <c r="L627" s="9">
        <v>9994.06</v>
      </c>
      <c r="M627" s="147"/>
      <c r="N627" s="147"/>
      <c r="O627" s="147"/>
      <c r="P627" s="147"/>
      <c r="Q627" s="147"/>
      <c r="R627" s="147"/>
      <c r="S627" s="147"/>
      <c r="T627" s="147"/>
      <c r="U627" s="147"/>
      <c r="V627" s="147"/>
      <c r="W627" s="147">
        <v>9994.06</v>
      </c>
      <c r="X627" s="221">
        <f t="shared" si="89"/>
        <v>0</v>
      </c>
    </row>
    <row r="628" spans="2:24" ht="63">
      <c r="B628" s="304"/>
      <c r="C628" s="304"/>
      <c r="D628" s="308"/>
      <c r="E628" s="33" t="s">
        <v>397</v>
      </c>
      <c r="F628" s="32">
        <v>68416</v>
      </c>
      <c r="G628" s="18">
        <f t="shared" si="94"/>
        <v>0.06699470884003744</v>
      </c>
      <c r="H628" s="253">
        <v>4583.51</v>
      </c>
      <c r="I628" s="270">
        <v>3122</v>
      </c>
      <c r="J628" s="9">
        <v>802</v>
      </c>
      <c r="K628" s="147"/>
      <c r="L628" s="9">
        <v>802</v>
      </c>
      <c r="M628" s="147"/>
      <c r="N628" s="147"/>
      <c r="O628" s="147"/>
      <c r="P628" s="147"/>
      <c r="Q628" s="147"/>
      <c r="R628" s="147"/>
      <c r="S628" s="147"/>
      <c r="T628" s="147"/>
      <c r="U628" s="147"/>
      <c r="V628" s="147"/>
      <c r="W628" s="147">
        <v>802</v>
      </c>
      <c r="X628" s="221">
        <f t="shared" si="89"/>
        <v>0</v>
      </c>
    </row>
    <row r="629" spans="2:24" ht="63">
      <c r="B629" s="304"/>
      <c r="C629" s="304"/>
      <c r="D629" s="308"/>
      <c r="E629" s="33" t="s">
        <v>398</v>
      </c>
      <c r="F629" s="32">
        <v>97504</v>
      </c>
      <c r="G629" s="18">
        <f t="shared" si="94"/>
        <v>0.543865379881851</v>
      </c>
      <c r="H629" s="253">
        <v>53029.05</v>
      </c>
      <c r="I629" s="266">
        <v>3142</v>
      </c>
      <c r="J629" s="9">
        <v>15280.66</v>
      </c>
      <c r="K629" s="147"/>
      <c r="L629" s="9">
        <v>15280.66</v>
      </c>
      <c r="M629" s="147"/>
      <c r="N629" s="147"/>
      <c r="O629" s="147"/>
      <c r="P629" s="147"/>
      <c r="Q629" s="147"/>
      <c r="R629" s="147"/>
      <c r="S629" s="147"/>
      <c r="T629" s="147"/>
      <c r="U629" s="147"/>
      <c r="V629" s="147"/>
      <c r="W629" s="147">
        <v>15280.66</v>
      </c>
      <c r="X629" s="221">
        <f t="shared" si="89"/>
        <v>0</v>
      </c>
    </row>
    <row r="630" spans="2:24" ht="63">
      <c r="B630" s="304"/>
      <c r="C630" s="304"/>
      <c r="D630" s="308"/>
      <c r="E630" s="33" t="s">
        <v>237</v>
      </c>
      <c r="F630" s="32">
        <v>156612</v>
      </c>
      <c r="G630" s="18">
        <f t="shared" si="94"/>
        <v>0.472631215998774</v>
      </c>
      <c r="H630" s="253">
        <v>74019.72</v>
      </c>
      <c r="I630" s="270">
        <v>3142</v>
      </c>
      <c r="J630" s="9">
        <v>32696.11</v>
      </c>
      <c r="K630" s="147"/>
      <c r="L630" s="9">
        <v>32696.11</v>
      </c>
      <c r="M630" s="147"/>
      <c r="N630" s="147"/>
      <c r="O630" s="147"/>
      <c r="P630" s="147"/>
      <c r="Q630" s="147"/>
      <c r="R630" s="147"/>
      <c r="S630" s="147"/>
      <c r="T630" s="147"/>
      <c r="U630" s="147"/>
      <c r="V630" s="147"/>
      <c r="W630" s="147">
        <v>32696.11</v>
      </c>
      <c r="X630" s="221">
        <f t="shared" si="89"/>
        <v>0</v>
      </c>
    </row>
    <row r="631" spans="2:24" ht="47.25">
      <c r="B631" s="304"/>
      <c r="C631" s="304"/>
      <c r="D631" s="308"/>
      <c r="E631" s="33" t="s">
        <v>238</v>
      </c>
      <c r="F631" s="32">
        <v>8707339</v>
      </c>
      <c r="G631" s="18">
        <f t="shared" si="94"/>
        <v>0.27611726154224614</v>
      </c>
      <c r="H631" s="253">
        <v>2404246.6</v>
      </c>
      <c r="I631" s="270">
        <v>3142</v>
      </c>
      <c r="J631" s="9">
        <v>701896.79</v>
      </c>
      <c r="K631" s="147"/>
      <c r="L631" s="9">
        <v>701896.79</v>
      </c>
      <c r="M631" s="147"/>
      <c r="N631" s="147"/>
      <c r="O631" s="147"/>
      <c r="P631" s="147"/>
      <c r="Q631" s="147"/>
      <c r="R631" s="147"/>
      <c r="S631" s="147"/>
      <c r="T631" s="147"/>
      <c r="U631" s="147"/>
      <c r="V631" s="147"/>
      <c r="W631" s="147">
        <v>701896.79</v>
      </c>
      <c r="X631" s="221">
        <f t="shared" si="89"/>
        <v>0</v>
      </c>
    </row>
    <row r="632" spans="2:24" ht="63">
      <c r="B632" s="304"/>
      <c r="C632" s="304"/>
      <c r="D632" s="308"/>
      <c r="E632" s="33" t="s">
        <v>363</v>
      </c>
      <c r="F632" s="32">
        <v>1227000</v>
      </c>
      <c r="G632" s="18">
        <f t="shared" si="94"/>
        <v>0.5783911980440097</v>
      </c>
      <c r="H632" s="253">
        <v>709686</v>
      </c>
      <c r="I632" s="266">
        <v>3142</v>
      </c>
      <c r="J632" s="9">
        <v>221474.42</v>
      </c>
      <c r="K632" s="147"/>
      <c r="L632" s="9">
        <v>221474.42</v>
      </c>
      <c r="M632" s="147"/>
      <c r="N632" s="147"/>
      <c r="O632" s="147"/>
      <c r="P632" s="147"/>
      <c r="Q632" s="147"/>
      <c r="R632" s="147"/>
      <c r="S632" s="147"/>
      <c r="T632" s="147"/>
      <c r="U632" s="147"/>
      <c r="V632" s="147"/>
      <c r="W632" s="147">
        <v>221474.42</v>
      </c>
      <c r="X632" s="221">
        <f t="shared" si="89"/>
        <v>0</v>
      </c>
    </row>
    <row r="633" spans="2:24" ht="47.25">
      <c r="B633" s="304"/>
      <c r="C633" s="304"/>
      <c r="D633" s="308"/>
      <c r="E633" s="33" t="s">
        <v>364</v>
      </c>
      <c r="F633" s="32">
        <v>81916</v>
      </c>
      <c r="G633" s="18">
        <f t="shared" si="94"/>
        <v>0.2755743688656672</v>
      </c>
      <c r="H633" s="253">
        <v>22573.95</v>
      </c>
      <c r="I633" s="270">
        <v>3142</v>
      </c>
      <c r="J633" s="9">
        <v>3222.05</v>
      </c>
      <c r="K633" s="147"/>
      <c r="L633" s="9">
        <v>3222.05</v>
      </c>
      <c r="M633" s="147"/>
      <c r="N633" s="147"/>
      <c r="O633" s="147"/>
      <c r="P633" s="147"/>
      <c r="Q633" s="147"/>
      <c r="R633" s="147"/>
      <c r="S633" s="147"/>
      <c r="T633" s="147"/>
      <c r="U633" s="147"/>
      <c r="V633" s="147"/>
      <c r="W633" s="147">
        <v>3222.05</v>
      </c>
      <c r="X633" s="221">
        <f t="shared" si="89"/>
        <v>0</v>
      </c>
    </row>
    <row r="634" spans="2:24" ht="78.75">
      <c r="B634" s="304"/>
      <c r="C634" s="304"/>
      <c r="D634" s="308"/>
      <c r="E634" s="33" t="s">
        <v>365</v>
      </c>
      <c r="F634" s="32">
        <v>512000</v>
      </c>
      <c r="G634" s="18">
        <f t="shared" si="94"/>
        <v>0.966796875</v>
      </c>
      <c r="H634" s="253">
        <v>495000</v>
      </c>
      <c r="I634" s="270">
        <v>3142</v>
      </c>
      <c r="J634" s="9">
        <v>17000</v>
      </c>
      <c r="K634" s="147"/>
      <c r="L634" s="9">
        <v>17000</v>
      </c>
      <c r="M634" s="147"/>
      <c r="N634" s="147"/>
      <c r="O634" s="147"/>
      <c r="P634" s="147"/>
      <c r="Q634" s="147"/>
      <c r="R634" s="147"/>
      <c r="S634" s="147"/>
      <c r="T634" s="147"/>
      <c r="U634" s="147"/>
      <c r="V634" s="147"/>
      <c r="W634" s="147">
        <v>17000</v>
      </c>
      <c r="X634" s="221">
        <f t="shared" si="89"/>
        <v>0</v>
      </c>
    </row>
    <row r="635" spans="2:24" ht="31.5">
      <c r="B635" s="304"/>
      <c r="C635" s="304"/>
      <c r="D635" s="308"/>
      <c r="E635" s="33" t="s">
        <v>713</v>
      </c>
      <c r="F635" s="32"/>
      <c r="G635" s="18"/>
      <c r="H635" s="253"/>
      <c r="I635" s="266">
        <v>3142</v>
      </c>
      <c r="J635" s="9">
        <v>388000</v>
      </c>
      <c r="K635" s="147"/>
      <c r="L635" s="147"/>
      <c r="M635" s="147"/>
      <c r="N635" s="147"/>
      <c r="O635" s="147"/>
      <c r="P635" s="147">
        <v>194000</v>
      </c>
      <c r="Q635" s="147">
        <v>194000</v>
      </c>
      <c r="R635" s="147"/>
      <c r="S635" s="147"/>
      <c r="T635" s="147"/>
      <c r="U635" s="147"/>
      <c r="V635" s="147"/>
      <c r="W635" s="147">
        <f>154634</f>
        <v>154634</v>
      </c>
      <c r="X635" s="221">
        <f t="shared" si="89"/>
        <v>233366</v>
      </c>
    </row>
    <row r="636" spans="2:24" ht="31.5">
      <c r="B636" s="304"/>
      <c r="C636" s="304"/>
      <c r="D636" s="308"/>
      <c r="E636" s="33" t="s">
        <v>714</v>
      </c>
      <c r="F636" s="32"/>
      <c r="G636" s="18"/>
      <c r="H636" s="253"/>
      <c r="I636" s="270">
        <v>3142</v>
      </c>
      <c r="J636" s="9">
        <v>318000</v>
      </c>
      <c r="K636" s="147"/>
      <c r="L636" s="147"/>
      <c r="M636" s="147"/>
      <c r="N636" s="147"/>
      <c r="O636" s="147">
        <v>159000</v>
      </c>
      <c r="P636" s="147">
        <v>159000</v>
      </c>
      <c r="Q636" s="147"/>
      <c r="R636" s="147"/>
      <c r="S636" s="147"/>
      <c r="T636" s="147"/>
      <c r="U636" s="147"/>
      <c r="V636" s="147"/>
      <c r="W636" s="147">
        <f>152267.4+1073.54</f>
        <v>153340.94</v>
      </c>
      <c r="X636" s="221">
        <f t="shared" si="89"/>
        <v>164659.06</v>
      </c>
    </row>
    <row r="637" spans="2:24" ht="47.25">
      <c r="B637" s="304"/>
      <c r="C637" s="304"/>
      <c r="D637" s="308"/>
      <c r="E637" s="33" t="s">
        <v>715</v>
      </c>
      <c r="F637" s="32"/>
      <c r="G637" s="18"/>
      <c r="H637" s="253"/>
      <c r="I637" s="270">
        <v>3142</v>
      </c>
      <c r="J637" s="9">
        <v>338000</v>
      </c>
      <c r="K637" s="147"/>
      <c r="L637" s="147"/>
      <c r="M637" s="147"/>
      <c r="N637" s="147"/>
      <c r="O637" s="147">
        <v>10000</v>
      </c>
      <c r="P637" s="147">
        <v>100000</v>
      </c>
      <c r="Q637" s="147">
        <v>100000</v>
      </c>
      <c r="R637" s="147">
        <v>128000</v>
      </c>
      <c r="S637" s="147"/>
      <c r="T637" s="147"/>
      <c r="U637" s="147"/>
      <c r="V637" s="147"/>
      <c r="W637" s="147">
        <f>9823.15</f>
        <v>9823.15</v>
      </c>
      <c r="X637" s="221">
        <f t="shared" si="89"/>
        <v>328176.85</v>
      </c>
    </row>
    <row r="638" spans="2:24" ht="31.5">
      <c r="B638" s="304"/>
      <c r="C638" s="304"/>
      <c r="D638" s="308"/>
      <c r="E638" s="33" t="s">
        <v>716</v>
      </c>
      <c r="F638" s="32"/>
      <c r="G638" s="18"/>
      <c r="H638" s="253"/>
      <c r="I638" s="266">
        <v>3142</v>
      </c>
      <c r="J638" s="9">
        <v>412000</v>
      </c>
      <c r="K638" s="147"/>
      <c r="L638" s="147"/>
      <c r="M638" s="147"/>
      <c r="N638" s="147"/>
      <c r="O638" s="147">
        <v>10000</v>
      </c>
      <c r="P638" s="147">
        <v>100000</v>
      </c>
      <c r="Q638" s="147">
        <v>100000</v>
      </c>
      <c r="R638" s="147">
        <v>100000</v>
      </c>
      <c r="S638" s="147">
        <v>102000</v>
      </c>
      <c r="T638" s="147"/>
      <c r="U638" s="147"/>
      <c r="V638" s="147"/>
      <c r="W638" s="147">
        <f>9823.15</f>
        <v>9823.15</v>
      </c>
      <c r="X638" s="221">
        <f t="shared" si="89"/>
        <v>300176.85</v>
      </c>
    </row>
    <row r="639" spans="2:24" ht="31.5">
      <c r="B639" s="304"/>
      <c r="C639" s="304"/>
      <c r="D639" s="308"/>
      <c r="E639" s="33" t="s">
        <v>717</v>
      </c>
      <c r="F639" s="32"/>
      <c r="G639" s="18"/>
      <c r="H639" s="253"/>
      <c r="I639" s="270">
        <v>3142</v>
      </c>
      <c r="J639" s="9">
        <f>125000+15000</f>
        <v>140000</v>
      </c>
      <c r="K639" s="147"/>
      <c r="L639" s="147"/>
      <c r="M639" s="147"/>
      <c r="N639" s="147"/>
      <c r="O639" s="147">
        <v>125000</v>
      </c>
      <c r="P639" s="147"/>
      <c r="Q639" s="147">
        <v>15000</v>
      </c>
      <c r="R639" s="147"/>
      <c r="S639" s="147"/>
      <c r="T639" s="147"/>
      <c r="U639" s="147"/>
      <c r="V639" s="147"/>
      <c r="W639" s="147">
        <f>2142+990</f>
        <v>3132</v>
      </c>
      <c r="X639" s="221">
        <f t="shared" si="89"/>
        <v>136868</v>
      </c>
    </row>
    <row r="640" spans="2:24" ht="47.25">
      <c r="B640" s="304"/>
      <c r="C640" s="304"/>
      <c r="D640" s="308"/>
      <c r="E640" s="33" t="s">
        <v>718</v>
      </c>
      <c r="F640" s="32"/>
      <c r="G640" s="18"/>
      <c r="H640" s="253"/>
      <c r="I640" s="270">
        <v>3142</v>
      </c>
      <c r="J640" s="9">
        <f>41000+3000</f>
        <v>44000</v>
      </c>
      <c r="K640" s="147"/>
      <c r="L640" s="147"/>
      <c r="M640" s="147"/>
      <c r="N640" s="147"/>
      <c r="O640" s="147">
        <v>41000</v>
      </c>
      <c r="P640" s="147">
        <v>3000</v>
      </c>
      <c r="Q640" s="147"/>
      <c r="R640" s="147"/>
      <c r="S640" s="147"/>
      <c r="T640" s="147"/>
      <c r="U640" s="147"/>
      <c r="V640" s="147"/>
      <c r="W640" s="147">
        <f>41784</f>
        <v>41784</v>
      </c>
      <c r="X640" s="221">
        <f t="shared" si="89"/>
        <v>2216</v>
      </c>
    </row>
    <row r="641" spans="2:24" ht="47.25">
      <c r="B641" s="304"/>
      <c r="C641" s="304"/>
      <c r="D641" s="308"/>
      <c r="E641" s="33" t="s">
        <v>280</v>
      </c>
      <c r="F641" s="32"/>
      <c r="G641" s="18"/>
      <c r="H641" s="253"/>
      <c r="I641" s="270">
        <v>3142</v>
      </c>
      <c r="J641" s="9">
        <v>200000</v>
      </c>
      <c r="K641" s="147"/>
      <c r="L641" s="147"/>
      <c r="M641" s="147"/>
      <c r="N641" s="147"/>
      <c r="O641" s="147"/>
      <c r="P641" s="147">
        <v>10000</v>
      </c>
      <c r="Q641" s="147">
        <v>95000</v>
      </c>
      <c r="R641" s="147">
        <v>95000</v>
      </c>
      <c r="S641" s="147"/>
      <c r="T641" s="147"/>
      <c r="U641" s="147"/>
      <c r="V641" s="147"/>
      <c r="W641" s="147">
        <f>12891</f>
        <v>12891</v>
      </c>
      <c r="X641" s="221">
        <f t="shared" si="89"/>
        <v>187109</v>
      </c>
    </row>
    <row r="642" spans="2:24" ht="47.25">
      <c r="B642" s="304"/>
      <c r="C642" s="304"/>
      <c r="D642" s="308"/>
      <c r="E642" s="33" t="s">
        <v>723</v>
      </c>
      <c r="F642" s="32"/>
      <c r="G642" s="18"/>
      <c r="H642" s="253"/>
      <c r="I642" s="270">
        <v>3210</v>
      </c>
      <c r="J642" s="9">
        <v>200000</v>
      </c>
      <c r="K642" s="147"/>
      <c r="L642" s="147"/>
      <c r="M642" s="147"/>
      <c r="N642" s="147"/>
      <c r="O642" s="147"/>
      <c r="P642" s="147">
        <v>60000</v>
      </c>
      <c r="Q642" s="147">
        <v>60000</v>
      </c>
      <c r="R642" s="147">
        <v>80000</v>
      </c>
      <c r="S642" s="147"/>
      <c r="T642" s="147"/>
      <c r="U642" s="147"/>
      <c r="V642" s="147"/>
      <c r="W642" s="147">
        <f>26222.94</f>
        <v>26222.94</v>
      </c>
      <c r="X642" s="221">
        <f t="shared" si="89"/>
        <v>173777.06</v>
      </c>
    </row>
    <row r="643" spans="2:24" ht="47.25">
      <c r="B643" s="304"/>
      <c r="C643" s="304"/>
      <c r="D643" s="308"/>
      <c r="E643" s="10" t="s">
        <v>724</v>
      </c>
      <c r="F643" s="32"/>
      <c r="G643" s="18"/>
      <c r="H643" s="253"/>
      <c r="I643" s="270">
        <v>3210</v>
      </c>
      <c r="J643" s="9">
        <v>202000</v>
      </c>
      <c r="K643" s="147"/>
      <c r="L643" s="147"/>
      <c r="M643" s="147"/>
      <c r="N643" s="147"/>
      <c r="O643" s="147"/>
      <c r="P643" s="147">
        <v>60000</v>
      </c>
      <c r="Q643" s="147">
        <v>60000</v>
      </c>
      <c r="R643" s="147">
        <v>82000</v>
      </c>
      <c r="S643" s="147"/>
      <c r="T643" s="147"/>
      <c r="U643" s="147"/>
      <c r="V643" s="147"/>
      <c r="W643" s="147">
        <f>21733.71</f>
        <v>21733.71</v>
      </c>
      <c r="X643" s="221">
        <f t="shared" si="89"/>
        <v>180266.29</v>
      </c>
    </row>
    <row r="644" spans="2:24" ht="47.25">
      <c r="B644" s="304"/>
      <c r="C644" s="304"/>
      <c r="D644" s="308"/>
      <c r="E644" s="10" t="s">
        <v>725</v>
      </c>
      <c r="F644" s="32"/>
      <c r="G644" s="18"/>
      <c r="H644" s="253"/>
      <c r="I644" s="266">
        <v>3210</v>
      </c>
      <c r="J644" s="9">
        <v>330000</v>
      </c>
      <c r="K644" s="147"/>
      <c r="L644" s="147"/>
      <c r="M644" s="147"/>
      <c r="N644" s="147"/>
      <c r="O644" s="147">
        <v>100000</v>
      </c>
      <c r="P644" s="147">
        <v>100000</v>
      </c>
      <c r="Q644" s="147">
        <v>130000</v>
      </c>
      <c r="R644" s="147"/>
      <c r="S644" s="147"/>
      <c r="T644" s="147"/>
      <c r="U644" s="147"/>
      <c r="V644" s="147"/>
      <c r="W644" s="147">
        <v>94840.2</v>
      </c>
      <c r="X644" s="221">
        <f t="shared" si="89"/>
        <v>235159.8</v>
      </c>
    </row>
    <row r="645" spans="2:24" ht="47.25">
      <c r="B645" s="304"/>
      <c r="C645" s="304"/>
      <c r="D645" s="308"/>
      <c r="E645" s="10" t="s">
        <v>726</v>
      </c>
      <c r="F645" s="32"/>
      <c r="G645" s="18"/>
      <c r="H645" s="253"/>
      <c r="I645" s="270">
        <v>3210</v>
      </c>
      <c r="J645" s="9">
        <v>205000</v>
      </c>
      <c r="K645" s="147"/>
      <c r="L645" s="147"/>
      <c r="M645" s="147"/>
      <c r="N645" s="147"/>
      <c r="O645" s="147"/>
      <c r="P645" s="147">
        <v>60000</v>
      </c>
      <c r="Q645" s="147">
        <v>100000</v>
      </c>
      <c r="R645" s="147">
        <v>45000</v>
      </c>
      <c r="S645" s="147"/>
      <c r="T645" s="147"/>
      <c r="U645" s="147"/>
      <c r="V645" s="147"/>
      <c r="W645" s="147">
        <f>57503.86</f>
        <v>57503.86</v>
      </c>
      <c r="X645" s="221">
        <f t="shared" si="89"/>
        <v>147496.14</v>
      </c>
    </row>
    <row r="646" spans="2:24" ht="47.25">
      <c r="B646" s="304"/>
      <c r="C646" s="304"/>
      <c r="D646" s="308"/>
      <c r="E646" s="10" t="s">
        <v>727</v>
      </c>
      <c r="F646" s="32"/>
      <c r="G646" s="18"/>
      <c r="H646" s="253"/>
      <c r="I646" s="270">
        <v>3142</v>
      </c>
      <c r="J646" s="9">
        <v>50000</v>
      </c>
      <c r="K646" s="147"/>
      <c r="L646" s="147"/>
      <c r="M646" s="147"/>
      <c r="N646" s="147"/>
      <c r="O646" s="147"/>
      <c r="P646" s="147">
        <v>30000</v>
      </c>
      <c r="Q646" s="147"/>
      <c r="R646" s="147">
        <v>20000</v>
      </c>
      <c r="S646" s="147"/>
      <c r="T646" s="147"/>
      <c r="U646" s="147"/>
      <c r="V646" s="147"/>
      <c r="W646" s="147"/>
      <c r="X646" s="221">
        <f t="shared" si="89"/>
        <v>50000</v>
      </c>
    </row>
    <row r="647" spans="2:24" ht="31.5">
      <c r="B647" s="304"/>
      <c r="C647" s="304"/>
      <c r="D647" s="308"/>
      <c r="E647" s="10" t="s">
        <v>728</v>
      </c>
      <c r="F647" s="32"/>
      <c r="G647" s="18"/>
      <c r="H647" s="253"/>
      <c r="I647" s="266">
        <v>3122</v>
      </c>
      <c r="J647" s="9">
        <v>300000</v>
      </c>
      <c r="K647" s="147"/>
      <c r="L647" s="147"/>
      <c r="M647" s="147"/>
      <c r="N647" s="147"/>
      <c r="O647" s="147"/>
      <c r="P647" s="147"/>
      <c r="Q647" s="147"/>
      <c r="R647" s="147"/>
      <c r="S647" s="147"/>
      <c r="T647" s="147"/>
      <c r="U647" s="147">
        <v>300000</v>
      </c>
      <c r="V647" s="147"/>
      <c r="W647" s="147"/>
      <c r="X647" s="221">
        <f t="shared" si="89"/>
        <v>0</v>
      </c>
    </row>
    <row r="648" spans="2:24" ht="47.25">
      <c r="B648" s="304"/>
      <c r="C648" s="304"/>
      <c r="D648" s="308"/>
      <c r="E648" s="10" t="s">
        <v>729</v>
      </c>
      <c r="F648" s="32"/>
      <c r="G648" s="18"/>
      <c r="H648" s="253"/>
      <c r="I648" s="270">
        <v>3142</v>
      </c>
      <c r="J648" s="9">
        <v>115000</v>
      </c>
      <c r="K648" s="147"/>
      <c r="L648" s="147"/>
      <c r="M648" s="147"/>
      <c r="N648" s="147"/>
      <c r="O648" s="147"/>
      <c r="P648" s="147"/>
      <c r="Q648" s="147"/>
      <c r="R648" s="147">
        <v>115000</v>
      </c>
      <c r="S648" s="147"/>
      <c r="T648" s="147"/>
      <c r="U648" s="147"/>
      <c r="V648" s="147"/>
      <c r="W648" s="147"/>
      <c r="X648" s="221">
        <f t="shared" si="89"/>
        <v>115000</v>
      </c>
    </row>
    <row r="649" spans="2:24" ht="63">
      <c r="B649" s="304"/>
      <c r="C649" s="304"/>
      <c r="D649" s="308"/>
      <c r="E649" s="130" t="s">
        <v>730</v>
      </c>
      <c r="F649" s="32">
        <v>1017000</v>
      </c>
      <c r="G649" s="18">
        <f t="shared" si="94"/>
        <v>0.983284169124877</v>
      </c>
      <c r="H649" s="253">
        <v>1000000</v>
      </c>
      <c r="I649" s="270">
        <v>3142</v>
      </c>
      <c r="J649" s="9">
        <v>1000000</v>
      </c>
      <c r="K649" s="147"/>
      <c r="L649" s="147"/>
      <c r="M649" s="147"/>
      <c r="N649" s="147"/>
      <c r="O649" s="147">
        <v>100000</v>
      </c>
      <c r="P649" s="147">
        <v>300000</v>
      </c>
      <c r="Q649" s="147">
        <f>300000+100000</f>
        <v>400000</v>
      </c>
      <c r="R649" s="147">
        <f>300000-100000</f>
        <v>200000</v>
      </c>
      <c r="S649" s="147"/>
      <c r="T649" s="147"/>
      <c r="U649" s="147"/>
      <c r="V649" s="147"/>
      <c r="W649" s="147">
        <f>8366.87+480822.8+286881.6</f>
        <v>776071.27</v>
      </c>
      <c r="X649" s="221">
        <f t="shared" si="89"/>
        <v>223928.72999999998</v>
      </c>
    </row>
    <row r="650" spans="2:24" ht="47.25">
      <c r="B650" s="304"/>
      <c r="C650" s="304"/>
      <c r="D650" s="308"/>
      <c r="E650" s="130" t="s">
        <v>731</v>
      </c>
      <c r="F650" s="66">
        <v>300000</v>
      </c>
      <c r="G650" s="18">
        <f t="shared" si="94"/>
        <v>1</v>
      </c>
      <c r="H650" s="229">
        <v>300000</v>
      </c>
      <c r="I650" s="266">
        <v>3122</v>
      </c>
      <c r="J650" s="66">
        <v>300000</v>
      </c>
      <c r="K650" s="147"/>
      <c r="L650" s="147"/>
      <c r="M650" s="147"/>
      <c r="N650" s="147"/>
      <c r="O650" s="147"/>
      <c r="P650" s="147"/>
      <c r="Q650" s="147"/>
      <c r="R650" s="147"/>
      <c r="S650" s="147">
        <v>100000</v>
      </c>
      <c r="T650" s="147">
        <v>100000</v>
      </c>
      <c r="U650" s="147">
        <v>100000</v>
      </c>
      <c r="V650" s="147"/>
      <c r="W650" s="147"/>
      <c r="X650" s="221">
        <f t="shared" si="89"/>
        <v>0</v>
      </c>
    </row>
    <row r="651" spans="2:24" ht="63">
      <c r="B651" s="304"/>
      <c r="C651" s="304"/>
      <c r="D651" s="308"/>
      <c r="E651" s="130" t="s">
        <v>732</v>
      </c>
      <c r="F651" s="66">
        <v>232210</v>
      </c>
      <c r="G651" s="18">
        <f t="shared" si="94"/>
        <v>0.0843159209336376</v>
      </c>
      <c r="H651" s="229">
        <v>19579</v>
      </c>
      <c r="I651" s="270">
        <v>3142</v>
      </c>
      <c r="J651" s="66">
        <v>19579</v>
      </c>
      <c r="K651" s="147"/>
      <c r="L651" s="147"/>
      <c r="M651" s="147"/>
      <c r="N651" s="147"/>
      <c r="O651" s="147">
        <v>19579</v>
      </c>
      <c r="P651" s="147"/>
      <c r="Q651" s="147"/>
      <c r="R651" s="147"/>
      <c r="S651" s="147"/>
      <c r="T651" s="147"/>
      <c r="U651" s="147"/>
      <c r="V651" s="147"/>
      <c r="W651" s="147"/>
      <c r="X651" s="221">
        <f t="shared" si="89"/>
        <v>19579</v>
      </c>
    </row>
    <row r="652" spans="2:24" ht="31.5">
      <c r="B652" s="304"/>
      <c r="C652" s="304"/>
      <c r="D652" s="308"/>
      <c r="E652" s="130" t="s">
        <v>216</v>
      </c>
      <c r="F652" s="66">
        <v>49684</v>
      </c>
      <c r="G652" s="18">
        <f t="shared" si="94"/>
        <v>0.8862750583688914</v>
      </c>
      <c r="H652" s="229">
        <v>44033.69</v>
      </c>
      <c r="I652" s="270">
        <v>3142</v>
      </c>
      <c r="J652" s="66">
        <v>24000</v>
      </c>
      <c r="K652" s="147"/>
      <c r="L652" s="147"/>
      <c r="M652" s="147"/>
      <c r="N652" s="147"/>
      <c r="O652" s="147"/>
      <c r="P652" s="147"/>
      <c r="Q652" s="147">
        <v>24000</v>
      </c>
      <c r="R652" s="147"/>
      <c r="S652" s="147"/>
      <c r="T652" s="147"/>
      <c r="U652" s="147"/>
      <c r="V652" s="147"/>
      <c r="W652" s="147"/>
      <c r="X652" s="221">
        <f t="shared" si="89"/>
        <v>24000</v>
      </c>
    </row>
    <row r="653" spans="2:24" ht="63">
      <c r="B653" s="304"/>
      <c r="C653" s="304"/>
      <c r="D653" s="308"/>
      <c r="E653" s="130" t="s">
        <v>20</v>
      </c>
      <c r="F653" s="66">
        <v>70000</v>
      </c>
      <c r="G653" s="18">
        <f t="shared" si="94"/>
        <v>1</v>
      </c>
      <c r="H653" s="229">
        <v>70000</v>
      </c>
      <c r="I653" s="266">
        <v>3142</v>
      </c>
      <c r="J653" s="66">
        <v>70000</v>
      </c>
      <c r="K653" s="147"/>
      <c r="L653" s="147"/>
      <c r="M653" s="147"/>
      <c r="N653" s="147"/>
      <c r="O653" s="147"/>
      <c r="P653" s="147"/>
      <c r="Q653" s="147">
        <v>70000</v>
      </c>
      <c r="R653" s="147"/>
      <c r="S653" s="147"/>
      <c r="T653" s="147"/>
      <c r="U653" s="147"/>
      <c r="V653" s="147"/>
      <c r="W653" s="147"/>
      <c r="X653" s="221">
        <f t="shared" si="89"/>
        <v>70000</v>
      </c>
    </row>
    <row r="654" spans="2:24" ht="63">
      <c r="B654" s="304"/>
      <c r="C654" s="304"/>
      <c r="D654" s="308"/>
      <c r="E654" s="130" t="s">
        <v>708</v>
      </c>
      <c r="F654" s="66">
        <v>80000</v>
      </c>
      <c r="G654" s="18">
        <f t="shared" si="94"/>
        <v>1</v>
      </c>
      <c r="H654" s="229">
        <v>80000</v>
      </c>
      <c r="I654" s="270">
        <v>3142</v>
      </c>
      <c r="J654" s="66">
        <v>80000</v>
      </c>
      <c r="K654" s="147"/>
      <c r="L654" s="147"/>
      <c r="M654" s="147"/>
      <c r="N654" s="147"/>
      <c r="O654" s="147"/>
      <c r="P654" s="147"/>
      <c r="Q654" s="147">
        <v>80000</v>
      </c>
      <c r="R654" s="147"/>
      <c r="S654" s="147"/>
      <c r="T654" s="147"/>
      <c r="U654" s="147"/>
      <c r="V654" s="147"/>
      <c r="W654" s="147"/>
      <c r="X654" s="221">
        <f t="shared" si="89"/>
        <v>80000</v>
      </c>
    </row>
    <row r="655" spans="2:24" ht="47.25">
      <c r="B655" s="304"/>
      <c r="C655" s="304"/>
      <c r="D655" s="308"/>
      <c r="E655" s="130" t="s">
        <v>709</v>
      </c>
      <c r="F655" s="66">
        <v>97504</v>
      </c>
      <c r="G655" s="18">
        <f t="shared" si="94"/>
        <v>0.543865379881851</v>
      </c>
      <c r="H655" s="229">
        <v>53029.05</v>
      </c>
      <c r="I655" s="270">
        <v>3142</v>
      </c>
      <c r="J655" s="66">
        <f>65000+23000</f>
        <v>88000</v>
      </c>
      <c r="K655" s="147"/>
      <c r="L655" s="147"/>
      <c r="M655" s="147"/>
      <c r="N655" s="147"/>
      <c r="O655" s="147">
        <v>30000</v>
      </c>
      <c r="P655" s="147">
        <v>35000</v>
      </c>
      <c r="Q655" s="147">
        <v>23000</v>
      </c>
      <c r="R655" s="147"/>
      <c r="S655" s="147"/>
      <c r="T655" s="147"/>
      <c r="U655" s="147"/>
      <c r="V655" s="147"/>
      <c r="W655" s="147">
        <f>8721.36+8721.36-8721.36+29673.6</f>
        <v>38394.96</v>
      </c>
      <c r="X655" s="221">
        <f t="shared" si="89"/>
        <v>49605.04</v>
      </c>
    </row>
    <row r="656" spans="2:24" ht="47.25">
      <c r="B656" s="304"/>
      <c r="C656" s="304"/>
      <c r="D656" s="308"/>
      <c r="E656" s="130" t="s">
        <v>710</v>
      </c>
      <c r="F656" s="66">
        <v>156612</v>
      </c>
      <c r="G656" s="18">
        <f t="shared" si="94"/>
        <v>0.47263108829463896</v>
      </c>
      <c r="H656" s="229">
        <v>74019.7</v>
      </c>
      <c r="I656" s="266">
        <v>3142</v>
      </c>
      <c r="J656" s="66">
        <f>115000+3000</f>
        <v>118000</v>
      </c>
      <c r="K656" s="147"/>
      <c r="L656" s="147"/>
      <c r="M656" s="147"/>
      <c r="N656" s="147"/>
      <c r="O656" s="147">
        <v>57500</v>
      </c>
      <c r="P656" s="147">
        <v>57500</v>
      </c>
      <c r="Q656" s="147">
        <v>3000</v>
      </c>
      <c r="R656" s="147"/>
      <c r="S656" s="147"/>
      <c r="T656" s="147"/>
      <c r="U656" s="147"/>
      <c r="V656" s="147"/>
      <c r="W656" s="147">
        <f>13655.04+13655.04-13655.04+28557.6</f>
        <v>42212.64</v>
      </c>
      <c r="X656" s="221">
        <f t="shared" si="89"/>
        <v>75787.36</v>
      </c>
    </row>
    <row r="657" spans="2:24" ht="47.25">
      <c r="B657" s="304"/>
      <c r="C657" s="304"/>
      <c r="D657" s="308"/>
      <c r="E657" s="130" t="s">
        <v>711</v>
      </c>
      <c r="F657" s="66">
        <v>65770</v>
      </c>
      <c r="G657" s="18">
        <f t="shared" si="94"/>
        <v>0.3497035122396229</v>
      </c>
      <c r="H657" s="229">
        <v>23000</v>
      </c>
      <c r="I657" s="270">
        <v>3142</v>
      </c>
      <c r="J657" s="66">
        <v>29000</v>
      </c>
      <c r="K657" s="147"/>
      <c r="L657" s="147"/>
      <c r="M657" s="147"/>
      <c r="N657" s="147"/>
      <c r="O657" s="147"/>
      <c r="P657" s="147">
        <v>29000</v>
      </c>
      <c r="Q657" s="147"/>
      <c r="R657" s="147"/>
      <c r="S657" s="147"/>
      <c r="T657" s="147"/>
      <c r="U657" s="147"/>
      <c r="V657" s="147"/>
      <c r="W657" s="147"/>
      <c r="X657" s="221">
        <f t="shared" si="89"/>
        <v>29000</v>
      </c>
    </row>
    <row r="658" spans="2:24" ht="47.25">
      <c r="B658" s="304"/>
      <c r="C658" s="304"/>
      <c r="D658" s="308"/>
      <c r="E658" s="130" t="s">
        <v>59</v>
      </c>
      <c r="F658" s="66">
        <v>1227000</v>
      </c>
      <c r="G658" s="18">
        <f t="shared" si="94"/>
        <v>0.5783911980440097</v>
      </c>
      <c r="H658" s="229">
        <v>709686</v>
      </c>
      <c r="I658" s="270">
        <v>3142</v>
      </c>
      <c r="J658" s="66">
        <v>209686</v>
      </c>
      <c r="K658" s="147"/>
      <c r="L658" s="147"/>
      <c r="M658" s="147"/>
      <c r="N658" s="147"/>
      <c r="O658" s="147">
        <v>209686</v>
      </c>
      <c r="P658" s="147"/>
      <c r="Q658" s="147"/>
      <c r="R658" s="147"/>
      <c r="S658" s="147"/>
      <c r="T658" s="147"/>
      <c r="U658" s="147"/>
      <c r="V658" s="147"/>
      <c r="W658" s="147"/>
      <c r="X658" s="221">
        <f t="shared" si="89"/>
        <v>209686</v>
      </c>
    </row>
    <row r="659" spans="2:24" ht="47.25">
      <c r="B659" s="304"/>
      <c r="C659" s="304"/>
      <c r="D659" s="308"/>
      <c r="E659" s="130" t="s">
        <v>243</v>
      </c>
      <c r="F659" s="66">
        <v>579976</v>
      </c>
      <c r="G659" s="18">
        <f t="shared" si="94"/>
        <v>0.9983171717450378</v>
      </c>
      <c r="H659" s="229">
        <v>579000</v>
      </c>
      <c r="I659" s="266">
        <v>3142</v>
      </c>
      <c r="J659" s="66">
        <v>579000</v>
      </c>
      <c r="K659" s="147"/>
      <c r="L659" s="147"/>
      <c r="M659" s="147"/>
      <c r="N659" s="147"/>
      <c r="O659" s="147"/>
      <c r="P659" s="147">
        <v>579000</v>
      </c>
      <c r="Q659" s="147"/>
      <c r="R659" s="147"/>
      <c r="S659" s="147"/>
      <c r="T659" s="147"/>
      <c r="U659" s="147"/>
      <c r="V659" s="147"/>
      <c r="W659" s="147">
        <f>509374.8+7546.18</f>
        <v>516920.98</v>
      </c>
      <c r="X659" s="221">
        <f t="shared" si="89"/>
        <v>62079.02000000002</v>
      </c>
    </row>
    <row r="660" spans="2:24" ht="94.5">
      <c r="B660" s="304"/>
      <c r="C660" s="304"/>
      <c r="D660" s="308"/>
      <c r="E660" s="130" t="s">
        <v>244</v>
      </c>
      <c r="F660" s="66">
        <v>661469</v>
      </c>
      <c r="G660" s="18">
        <f t="shared" si="94"/>
        <v>0.030210788411852985</v>
      </c>
      <c r="H660" s="229">
        <v>19983.5</v>
      </c>
      <c r="I660" s="270">
        <v>3142</v>
      </c>
      <c r="J660" s="66">
        <v>14000</v>
      </c>
      <c r="K660" s="147"/>
      <c r="L660" s="147"/>
      <c r="M660" s="147"/>
      <c r="N660" s="147"/>
      <c r="O660" s="147"/>
      <c r="P660" s="147">
        <v>14000</v>
      </c>
      <c r="Q660" s="147"/>
      <c r="R660" s="147"/>
      <c r="S660" s="147"/>
      <c r="T660" s="147"/>
      <c r="U660" s="147"/>
      <c r="V660" s="147"/>
      <c r="W660" s="147">
        <v>7410</v>
      </c>
      <c r="X660" s="221">
        <f t="shared" si="89"/>
        <v>6590</v>
      </c>
    </row>
    <row r="661" spans="2:24" ht="31.5">
      <c r="B661" s="304"/>
      <c r="C661" s="304"/>
      <c r="D661" s="308"/>
      <c r="E661" s="130" t="s">
        <v>245</v>
      </c>
      <c r="F661" s="66">
        <v>81916</v>
      </c>
      <c r="G661" s="18">
        <f t="shared" si="94"/>
        <v>0.2807754284877191</v>
      </c>
      <c r="H661" s="229">
        <v>23000</v>
      </c>
      <c r="I661" s="270">
        <v>3142</v>
      </c>
      <c r="J661" s="66">
        <v>23000</v>
      </c>
      <c r="K661" s="147"/>
      <c r="L661" s="147"/>
      <c r="M661" s="147"/>
      <c r="N661" s="147"/>
      <c r="O661" s="147"/>
      <c r="P661" s="147">
        <v>23000</v>
      </c>
      <c r="Q661" s="147"/>
      <c r="R661" s="147"/>
      <c r="S661" s="147"/>
      <c r="T661" s="147"/>
      <c r="U661" s="147"/>
      <c r="V661" s="147"/>
      <c r="W661" s="147"/>
      <c r="X661" s="221">
        <f t="shared" si="89"/>
        <v>23000</v>
      </c>
    </row>
    <row r="662" spans="2:24" ht="63">
      <c r="B662" s="304"/>
      <c r="C662" s="304"/>
      <c r="D662" s="308"/>
      <c r="E662" s="130" t="s">
        <v>765</v>
      </c>
      <c r="F662" s="66">
        <v>652288</v>
      </c>
      <c r="G662" s="18">
        <f t="shared" si="94"/>
        <v>0.58687849538854</v>
      </c>
      <c r="H662" s="229">
        <v>382813.8</v>
      </c>
      <c r="I662" s="266">
        <v>3142</v>
      </c>
      <c r="J662" s="66">
        <v>400000</v>
      </c>
      <c r="K662" s="147"/>
      <c r="L662" s="147"/>
      <c r="M662" s="147"/>
      <c r="N662" s="147"/>
      <c r="O662" s="147">
        <v>200000</v>
      </c>
      <c r="P662" s="147">
        <v>200000</v>
      </c>
      <c r="Q662" s="147"/>
      <c r="R662" s="147"/>
      <c r="S662" s="147"/>
      <c r="T662" s="147"/>
      <c r="U662" s="147"/>
      <c r="V662" s="147"/>
      <c r="W662" s="147">
        <f>146902.97+2287.66</f>
        <v>149190.63</v>
      </c>
      <c r="X662" s="221">
        <f t="shared" si="89"/>
        <v>250809.37</v>
      </c>
    </row>
    <row r="663" spans="2:24" ht="63">
      <c r="B663" s="304"/>
      <c r="C663" s="304"/>
      <c r="D663" s="308"/>
      <c r="E663" s="130" t="s">
        <v>766</v>
      </c>
      <c r="F663" s="66"/>
      <c r="G663" s="18"/>
      <c r="H663" s="229"/>
      <c r="I663" s="270">
        <v>3142</v>
      </c>
      <c r="J663" s="66">
        <v>50000</v>
      </c>
      <c r="K663" s="147"/>
      <c r="L663" s="147"/>
      <c r="M663" s="147"/>
      <c r="N663" s="147"/>
      <c r="O663" s="147"/>
      <c r="P663" s="147"/>
      <c r="Q663" s="147"/>
      <c r="R663" s="147">
        <v>50000</v>
      </c>
      <c r="S663" s="147"/>
      <c r="T663" s="147"/>
      <c r="U663" s="147"/>
      <c r="V663" s="147"/>
      <c r="W663" s="147"/>
      <c r="X663" s="221">
        <f t="shared" si="89"/>
        <v>50000</v>
      </c>
    </row>
    <row r="664" spans="2:24" ht="63">
      <c r="B664" s="304"/>
      <c r="C664" s="304"/>
      <c r="D664" s="308"/>
      <c r="E664" s="130" t="s">
        <v>767</v>
      </c>
      <c r="F664" s="66">
        <v>1012912</v>
      </c>
      <c r="G664" s="18">
        <f t="shared" si="94"/>
        <v>0.20831029743946172</v>
      </c>
      <c r="H664" s="229">
        <v>211000</v>
      </c>
      <c r="I664" s="270">
        <v>3122</v>
      </c>
      <c r="J664" s="66">
        <f>211000+32000+100000</f>
        <v>343000</v>
      </c>
      <c r="K664" s="147"/>
      <c r="L664" s="147"/>
      <c r="M664" s="147"/>
      <c r="N664" s="147"/>
      <c r="O664" s="147">
        <v>100000</v>
      </c>
      <c r="P664" s="147">
        <f>111000+32000</f>
        <v>143000</v>
      </c>
      <c r="Q664" s="147"/>
      <c r="R664" s="147">
        <v>100000</v>
      </c>
      <c r="S664" s="147"/>
      <c r="T664" s="147"/>
      <c r="U664" s="147"/>
      <c r="V664" s="147"/>
      <c r="W664" s="147">
        <f>166086+726</f>
        <v>166812</v>
      </c>
      <c r="X664" s="221">
        <f t="shared" si="89"/>
        <v>176188</v>
      </c>
    </row>
    <row r="665" spans="2:24" ht="78.75">
      <c r="B665" s="304"/>
      <c r="C665" s="304"/>
      <c r="D665" s="308"/>
      <c r="E665" s="10" t="s">
        <v>279</v>
      </c>
      <c r="F665" s="49"/>
      <c r="G665" s="18"/>
      <c r="H665" s="231"/>
      <c r="I665" s="266">
        <v>3142</v>
      </c>
      <c r="J665" s="21">
        <v>500000</v>
      </c>
      <c r="K665" s="147"/>
      <c r="L665" s="147"/>
      <c r="M665" s="147"/>
      <c r="N665" s="147"/>
      <c r="O665" s="147"/>
      <c r="P665" s="147">
        <v>70000</v>
      </c>
      <c r="Q665" s="147">
        <f>100000-100000</f>
        <v>0</v>
      </c>
      <c r="R665" s="147">
        <f>165000+100000</f>
        <v>265000</v>
      </c>
      <c r="S665" s="147">
        <v>165000</v>
      </c>
      <c r="T665" s="147"/>
      <c r="U665" s="147"/>
      <c r="V665" s="147"/>
      <c r="W665" s="147"/>
      <c r="X665" s="221">
        <f t="shared" si="89"/>
        <v>335000</v>
      </c>
    </row>
    <row r="666" spans="2:24" ht="94.5">
      <c r="B666" s="304"/>
      <c r="C666" s="304"/>
      <c r="D666" s="308"/>
      <c r="E666" s="10" t="s">
        <v>768</v>
      </c>
      <c r="F666" s="49"/>
      <c r="G666" s="18"/>
      <c r="H666" s="231"/>
      <c r="I666" s="270">
        <v>3210</v>
      </c>
      <c r="J666" s="21">
        <v>100000</v>
      </c>
      <c r="K666" s="147"/>
      <c r="L666" s="147"/>
      <c r="M666" s="147"/>
      <c r="N666" s="147"/>
      <c r="O666" s="147"/>
      <c r="P666" s="147"/>
      <c r="Q666" s="147">
        <v>100000</v>
      </c>
      <c r="R666" s="147"/>
      <c r="S666" s="147"/>
      <c r="T666" s="147"/>
      <c r="U666" s="147"/>
      <c r="V666" s="147"/>
      <c r="W666" s="147"/>
      <c r="X666" s="221">
        <f t="shared" si="89"/>
        <v>100000</v>
      </c>
    </row>
    <row r="667" spans="2:24" ht="47.25">
      <c r="B667" s="304"/>
      <c r="C667" s="304"/>
      <c r="D667" s="308"/>
      <c r="E667" s="10" t="s">
        <v>769</v>
      </c>
      <c r="F667" s="49">
        <v>198427</v>
      </c>
      <c r="G667" s="18">
        <f t="shared" si="94"/>
        <v>0.5342014947562579</v>
      </c>
      <c r="H667" s="231">
        <v>106000</v>
      </c>
      <c r="I667" s="270">
        <v>3210</v>
      </c>
      <c r="J667" s="21">
        <v>106000</v>
      </c>
      <c r="K667" s="147"/>
      <c r="L667" s="147"/>
      <c r="M667" s="147"/>
      <c r="N667" s="147"/>
      <c r="O667" s="147">
        <v>106000</v>
      </c>
      <c r="P667" s="147"/>
      <c r="Q667" s="147"/>
      <c r="R667" s="147"/>
      <c r="S667" s="147"/>
      <c r="T667" s="147"/>
      <c r="U667" s="147"/>
      <c r="V667" s="147"/>
      <c r="W667" s="147">
        <v>101033.52</v>
      </c>
      <c r="X667" s="221">
        <f aca="true" t="shared" si="95" ref="X667:X730">K667+L667+M667+N667+O667+P667+Q667+R667-W667</f>
        <v>4966.479999999996</v>
      </c>
    </row>
    <row r="668" spans="2:24" ht="15.75">
      <c r="B668" s="303" t="s">
        <v>818</v>
      </c>
      <c r="C668" s="303" t="s">
        <v>830</v>
      </c>
      <c r="D668" s="307" t="s">
        <v>246</v>
      </c>
      <c r="E668" s="94"/>
      <c r="F668" s="76"/>
      <c r="G668" s="18"/>
      <c r="H668" s="235"/>
      <c r="I668" s="266"/>
      <c r="J668" s="222">
        <f>SUM(J669:J673)</f>
        <v>1208797.73</v>
      </c>
      <c r="K668" s="222">
        <f aca="true" t="shared" si="96" ref="K668:W668">SUM(K669:K673)</f>
        <v>0</v>
      </c>
      <c r="L668" s="222">
        <f t="shared" si="96"/>
        <v>99297.73</v>
      </c>
      <c r="M668" s="222">
        <f t="shared" si="96"/>
        <v>0</v>
      </c>
      <c r="N668" s="222">
        <f t="shared" si="96"/>
        <v>0</v>
      </c>
      <c r="O668" s="222">
        <f t="shared" si="96"/>
        <v>561000</v>
      </c>
      <c r="P668" s="222">
        <f t="shared" si="96"/>
        <v>280000</v>
      </c>
      <c r="Q668" s="222">
        <f t="shared" si="96"/>
        <v>109000</v>
      </c>
      <c r="R668" s="222">
        <f t="shared" si="96"/>
        <v>122000</v>
      </c>
      <c r="S668" s="222">
        <f t="shared" si="96"/>
        <v>0</v>
      </c>
      <c r="T668" s="222">
        <f t="shared" si="96"/>
        <v>37500</v>
      </c>
      <c r="U668" s="222">
        <f t="shared" si="96"/>
        <v>0</v>
      </c>
      <c r="V668" s="222">
        <f t="shared" si="96"/>
        <v>0</v>
      </c>
      <c r="W668" s="222">
        <f t="shared" si="96"/>
        <v>596301.96</v>
      </c>
      <c r="X668" s="221">
        <f t="shared" si="95"/>
        <v>574995.77</v>
      </c>
    </row>
    <row r="669" spans="2:24" ht="94.5">
      <c r="B669" s="304"/>
      <c r="C669" s="304"/>
      <c r="D669" s="308"/>
      <c r="E669" s="12" t="s">
        <v>839</v>
      </c>
      <c r="F669" s="32">
        <v>848844</v>
      </c>
      <c r="G669" s="18">
        <f t="shared" si="94"/>
        <v>0.550741007770568</v>
      </c>
      <c r="H669" s="253">
        <v>467493.2</v>
      </c>
      <c r="I669" s="270">
        <v>3142</v>
      </c>
      <c r="J669" s="9">
        <v>349</v>
      </c>
      <c r="K669" s="147"/>
      <c r="L669" s="9">
        <v>349</v>
      </c>
      <c r="M669" s="147"/>
      <c r="N669" s="147"/>
      <c r="O669" s="147"/>
      <c r="P669" s="147"/>
      <c r="Q669" s="147"/>
      <c r="R669" s="147"/>
      <c r="S669" s="147"/>
      <c r="T669" s="147"/>
      <c r="U669" s="147"/>
      <c r="V669" s="147"/>
      <c r="W669" s="147">
        <v>349</v>
      </c>
      <c r="X669" s="221">
        <f t="shared" si="95"/>
        <v>0</v>
      </c>
    </row>
    <row r="670" spans="2:24" ht="78.75">
      <c r="B670" s="304"/>
      <c r="C670" s="304"/>
      <c r="D670" s="308"/>
      <c r="E670" s="33" t="s">
        <v>719</v>
      </c>
      <c r="F670" s="32">
        <v>661770</v>
      </c>
      <c r="G670" s="18">
        <f t="shared" si="94"/>
        <v>0.30206567236351</v>
      </c>
      <c r="H670" s="253">
        <v>199898</v>
      </c>
      <c r="I670" s="270">
        <v>3142</v>
      </c>
      <c r="J670" s="9">
        <v>98948.73</v>
      </c>
      <c r="K670" s="147"/>
      <c r="L670" s="9">
        <v>98948.73</v>
      </c>
      <c r="M670" s="147"/>
      <c r="N670" s="147"/>
      <c r="O670" s="147"/>
      <c r="P670" s="147"/>
      <c r="Q670" s="147"/>
      <c r="R670" s="147"/>
      <c r="S670" s="147"/>
      <c r="T670" s="147"/>
      <c r="U670" s="147"/>
      <c r="V670" s="147"/>
      <c r="W670" s="147">
        <v>98948.73</v>
      </c>
      <c r="X670" s="221">
        <f t="shared" si="95"/>
        <v>0</v>
      </c>
    </row>
    <row r="671" spans="2:24" ht="47.25">
      <c r="B671" s="304"/>
      <c r="C671" s="304"/>
      <c r="D671" s="308"/>
      <c r="E671" s="130" t="s">
        <v>770</v>
      </c>
      <c r="F671" s="66">
        <v>14330803</v>
      </c>
      <c r="G671" s="18">
        <f t="shared" si="94"/>
        <v>0.034610761169489246</v>
      </c>
      <c r="H671" s="229">
        <v>496000</v>
      </c>
      <c r="I671" s="270">
        <v>3122</v>
      </c>
      <c r="J671" s="66">
        <v>496000</v>
      </c>
      <c r="K671" s="147"/>
      <c r="L671" s="147"/>
      <c r="M671" s="147"/>
      <c r="N671" s="147"/>
      <c r="O671" s="147">
        <v>496000</v>
      </c>
      <c r="P671" s="147"/>
      <c r="Q671" s="147"/>
      <c r="R671" s="147"/>
      <c r="S671" s="147"/>
      <c r="T671" s="147"/>
      <c r="U671" s="147"/>
      <c r="V671" s="147"/>
      <c r="W671" s="147">
        <v>495852.23</v>
      </c>
      <c r="X671" s="221">
        <f t="shared" si="95"/>
        <v>147.77000000001863</v>
      </c>
    </row>
    <row r="672" spans="2:24" ht="78.75">
      <c r="B672" s="304"/>
      <c r="C672" s="304"/>
      <c r="D672" s="308"/>
      <c r="E672" s="130" t="s">
        <v>771</v>
      </c>
      <c r="F672" s="66">
        <v>848844</v>
      </c>
      <c r="G672" s="18">
        <f t="shared" si="94"/>
        <v>0.550741007770568</v>
      </c>
      <c r="H672" s="229">
        <v>467493.2</v>
      </c>
      <c r="I672" s="270">
        <v>3142</v>
      </c>
      <c r="J672" s="66">
        <v>437000</v>
      </c>
      <c r="K672" s="147"/>
      <c r="L672" s="147"/>
      <c r="M672" s="147"/>
      <c r="N672" s="147"/>
      <c r="O672" s="147"/>
      <c r="P672" s="147">
        <v>215000</v>
      </c>
      <c r="Q672" s="147">
        <v>100000</v>
      </c>
      <c r="R672" s="147">
        <v>122000</v>
      </c>
      <c r="S672" s="147"/>
      <c r="T672" s="147"/>
      <c r="U672" s="147"/>
      <c r="V672" s="147"/>
      <c r="W672" s="147"/>
      <c r="X672" s="221">
        <f t="shared" si="95"/>
        <v>437000</v>
      </c>
    </row>
    <row r="673" spans="2:24" ht="63">
      <c r="B673" s="306"/>
      <c r="C673" s="306"/>
      <c r="D673" s="310"/>
      <c r="E673" s="130" t="s">
        <v>403</v>
      </c>
      <c r="F673" s="66">
        <v>661770</v>
      </c>
      <c r="G673" s="18">
        <f t="shared" si="94"/>
        <v>0.30206567236351</v>
      </c>
      <c r="H673" s="229">
        <v>199898</v>
      </c>
      <c r="I673" s="270">
        <v>3142</v>
      </c>
      <c r="J673" s="66">
        <f>130000+46500</f>
        <v>176500</v>
      </c>
      <c r="K673" s="147"/>
      <c r="L673" s="147"/>
      <c r="M673" s="147"/>
      <c r="N673" s="147"/>
      <c r="O673" s="147">
        <v>65000</v>
      </c>
      <c r="P673" s="147">
        <v>65000</v>
      </c>
      <c r="Q673" s="147">
        <v>9000</v>
      </c>
      <c r="R673" s="147"/>
      <c r="S673" s="147"/>
      <c r="T673" s="147">
        <v>37500</v>
      </c>
      <c r="U673" s="147"/>
      <c r="V673" s="147"/>
      <c r="W673" s="147">
        <f>1152</f>
        <v>1152</v>
      </c>
      <c r="X673" s="221">
        <f t="shared" si="95"/>
        <v>137848</v>
      </c>
    </row>
    <row r="674" spans="2:24" ht="15.75">
      <c r="B674" s="303" t="s">
        <v>506</v>
      </c>
      <c r="C674" s="303" t="s">
        <v>751</v>
      </c>
      <c r="D674" s="307" t="s">
        <v>507</v>
      </c>
      <c r="E674" s="94"/>
      <c r="F674" s="76"/>
      <c r="G674" s="18"/>
      <c r="H674" s="235"/>
      <c r="I674" s="266"/>
      <c r="J674" s="222">
        <f>SUM(J675:J725)</f>
        <v>20745187.96</v>
      </c>
      <c r="K674" s="222">
        <f aca="true" t="shared" si="97" ref="K674:W674">SUM(K675:K725)</f>
        <v>0</v>
      </c>
      <c r="L674" s="222">
        <f t="shared" si="97"/>
        <v>471102.4199999999</v>
      </c>
      <c r="M674" s="222">
        <f t="shared" si="97"/>
        <v>0</v>
      </c>
      <c r="N674" s="222">
        <f t="shared" si="97"/>
        <v>0</v>
      </c>
      <c r="O674" s="222">
        <f t="shared" si="97"/>
        <v>446782.66000000003</v>
      </c>
      <c r="P674" s="222">
        <f t="shared" si="97"/>
        <v>2622872.3</v>
      </c>
      <c r="Q674" s="222">
        <f t="shared" si="97"/>
        <v>1808135.9700000002</v>
      </c>
      <c r="R674" s="222">
        <f t="shared" si="97"/>
        <v>8541948.33</v>
      </c>
      <c r="S674" s="222">
        <f t="shared" si="97"/>
        <v>6744346.28</v>
      </c>
      <c r="T674" s="222">
        <f t="shared" si="97"/>
        <v>110000</v>
      </c>
      <c r="U674" s="222">
        <f t="shared" si="97"/>
        <v>0</v>
      </c>
      <c r="V674" s="222">
        <f t="shared" si="97"/>
        <v>0</v>
      </c>
      <c r="W674" s="222">
        <f t="shared" si="97"/>
        <v>1536587.4000000001</v>
      </c>
      <c r="X674" s="221">
        <f t="shared" si="95"/>
        <v>12354254.28</v>
      </c>
    </row>
    <row r="675" spans="2:24" ht="63">
      <c r="B675" s="304"/>
      <c r="C675" s="304"/>
      <c r="D675" s="308"/>
      <c r="E675" s="288" t="s">
        <v>217</v>
      </c>
      <c r="F675" s="32">
        <v>320536</v>
      </c>
      <c r="G675" s="18">
        <f t="shared" si="94"/>
        <v>0.9690393590735518</v>
      </c>
      <c r="H675" s="253">
        <v>310612</v>
      </c>
      <c r="I675" s="270">
        <v>3122</v>
      </c>
      <c r="J675" s="9">
        <v>9924</v>
      </c>
      <c r="K675" s="147"/>
      <c r="L675" s="9">
        <v>9924</v>
      </c>
      <c r="M675" s="147"/>
      <c r="N675" s="147"/>
      <c r="O675" s="147"/>
      <c r="P675" s="147"/>
      <c r="Q675" s="147"/>
      <c r="R675" s="147"/>
      <c r="S675" s="147"/>
      <c r="T675" s="147"/>
      <c r="U675" s="147"/>
      <c r="V675" s="147"/>
      <c r="W675" s="147">
        <v>9924</v>
      </c>
      <c r="X675" s="221">
        <f t="shared" si="95"/>
        <v>0</v>
      </c>
    </row>
    <row r="676" spans="2:24" ht="63">
      <c r="B676" s="304"/>
      <c r="C676" s="304"/>
      <c r="D676" s="308"/>
      <c r="E676" s="288" t="s">
        <v>218</v>
      </c>
      <c r="F676" s="32">
        <v>644198</v>
      </c>
      <c r="G676" s="18">
        <f t="shared" si="94"/>
        <v>0.28123247821322017</v>
      </c>
      <c r="H676" s="253">
        <v>181169.4</v>
      </c>
      <c r="I676" s="270">
        <v>3142</v>
      </c>
      <c r="J676" s="9">
        <v>6499.4</v>
      </c>
      <c r="K676" s="147"/>
      <c r="L676" s="9">
        <v>6499.4</v>
      </c>
      <c r="M676" s="147"/>
      <c r="N676" s="147"/>
      <c r="O676" s="147"/>
      <c r="P676" s="147"/>
      <c r="Q676" s="147"/>
      <c r="R676" s="147"/>
      <c r="S676" s="147"/>
      <c r="T676" s="147"/>
      <c r="U676" s="147"/>
      <c r="V676" s="147"/>
      <c r="W676" s="147">
        <v>6499.4</v>
      </c>
      <c r="X676" s="221">
        <f t="shared" si="95"/>
        <v>0</v>
      </c>
    </row>
    <row r="677" spans="2:24" ht="78.75">
      <c r="B677" s="304"/>
      <c r="C677" s="304"/>
      <c r="D677" s="308"/>
      <c r="E677" s="288" t="s">
        <v>219</v>
      </c>
      <c r="F677" s="35">
        <v>1089162</v>
      </c>
      <c r="G677" s="18">
        <f t="shared" si="94"/>
        <v>0.8373322884933554</v>
      </c>
      <c r="H677" s="253">
        <v>911990.51</v>
      </c>
      <c r="I677" s="270">
        <v>3132</v>
      </c>
      <c r="J677" s="9">
        <v>27770.4</v>
      </c>
      <c r="K677" s="147"/>
      <c r="L677" s="9">
        <v>27770.4</v>
      </c>
      <c r="M677" s="147"/>
      <c r="N677" s="147"/>
      <c r="O677" s="147"/>
      <c r="P677" s="147"/>
      <c r="Q677" s="147"/>
      <c r="R677" s="147"/>
      <c r="S677" s="147"/>
      <c r="T677" s="147"/>
      <c r="U677" s="147"/>
      <c r="V677" s="147"/>
      <c r="W677" s="147">
        <v>27770.4</v>
      </c>
      <c r="X677" s="221">
        <f t="shared" si="95"/>
        <v>0</v>
      </c>
    </row>
    <row r="678" spans="2:24" ht="63">
      <c r="B678" s="304"/>
      <c r="C678" s="304"/>
      <c r="D678" s="308"/>
      <c r="E678" s="288" t="s">
        <v>220</v>
      </c>
      <c r="F678" s="32">
        <v>273003</v>
      </c>
      <c r="G678" s="18">
        <f t="shared" si="94"/>
        <v>0.9532276202093017</v>
      </c>
      <c r="H678" s="253">
        <v>260234</v>
      </c>
      <c r="I678" s="270">
        <v>3142</v>
      </c>
      <c r="J678" s="9">
        <v>12769</v>
      </c>
      <c r="K678" s="147"/>
      <c r="L678" s="9">
        <v>12769</v>
      </c>
      <c r="M678" s="147"/>
      <c r="N678" s="147"/>
      <c r="O678" s="147"/>
      <c r="P678" s="147"/>
      <c r="Q678" s="147"/>
      <c r="R678" s="147"/>
      <c r="S678" s="147"/>
      <c r="T678" s="147"/>
      <c r="U678" s="147"/>
      <c r="V678" s="147"/>
      <c r="W678" s="147">
        <v>12769</v>
      </c>
      <c r="X678" s="221">
        <f t="shared" si="95"/>
        <v>0</v>
      </c>
    </row>
    <row r="679" spans="2:24" ht="31.5">
      <c r="B679" s="304"/>
      <c r="C679" s="304"/>
      <c r="D679" s="308"/>
      <c r="E679" s="288" t="s">
        <v>221</v>
      </c>
      <c r="F679" s="32">
        <v>51257653</v>
      </c>
      <c r="G679" s="18">
        <f t="shared" si="94"/>
        <v>0.992599153925366</v>
      </c>
      <c r="H679" s="253">
        <v>50878303</v>
      </c>
      <c r="I679" s="270">
        <v>3142</v>
      </c>
      <c r="J679" s="9">
        <v>99850</v>
      </c>
      <c r="K679" s="147"/>
      <c r="L679" s="9">
        <v>99850</v>
      </c>
      <c r="M679" s="147"/>
      <c r="N679" s="147"/>
      <c r="O679" s="147"/>
      <c r="P679" s="147"/>
      <c r="Q679" s="147"/>
      <c r="R679" s="147"/>
      <c r="S679" s="147"/>
      <c r="T679" s="147"/>
      <c r="U679" s="147"/>
      <c r="V679" s="147"/>
      <c r="W679" s="147">
        <v>99850</v>
      </c>
      <c r="X679" s="221">
        <f t="shared" si="95"/>
        <v>0</v>
      </c>
    </row>
    <row r="680" spans="2:24" ht="78.75">
      <c r="B680" s="304"/>
      <c r="C680" s="304"/>
      <c r="D680" s="308"/>
      <c r="E680" s="289" t="s">
        <v>720</v>
      </c>
      <c r="F680" s="32">
        <v>35450000</v>
      </c>
      <c r="G680" s="18">
        <f t="shared" si="94"/>
        <v>0.9967136530324401</v>
      </c>
      <c r="H680" s="253">
        <v>35333499</v>
      </c>
      <c r="I680" s="270">
        <v>3142</v>
      </c>
      <c r="J680" s="9">
        <v>32192</v>
      </c>
      <c r="K680" s="147"/>
      <c r="L680" s="9">
        <v>32192</v>
      </c>
      <c r="M680" s="147"/>
      <c r="N680" s="147"/>
      <c r="O680" s="147"/>
      <c r="P680" s="147"/>
      <c r="Q680" s="147"/>
      <c r="R680" s="147"/>
      <c r="S680" s="147"/>
      <c r="T680" s="147"/>
      <c r="U680" s="147"/>
      <c r="V680" s="147"/>
      <c r="W680" s="147">
        <v>32192</v>
      </c>
      <c r="X680" s="221">
        <f t="shared" si="95"/>
        <v>0</v>
      </c>
    </row>
    <row r="681" spans="2:24" ht="78.75">
      <c r="B681" s="304"/>
      <c r="C681" s="304"/>
      <c r="D681" s="308"/>
      <c r="E681" s="290" t="s">
        <v>721</v>
      </c>
      <c r="F681" s="32">
        <v>129286</v>
      </c>
      <c r="G681" s="18">
        <f t="shared" si="94"/>
        <v>0.9240567424160389</v>
      </c>
      <c r="H681" s="253">
        <v>119467.6</v>
      </c>
      <c r="I681" s="270">
        <v>3132</v>
      </c>
      <c r="J681" s="9">
        <v>348</v>
      </c>
      <c r="K681" s="147"/>
      <c r="L681" s="9">
        <v>348</v>
      </c>
      <c r="M681" s="147"/>
      <c r="N681" s="147"/>
      <c r="O681" s="147"/>
      <c r="P681" s="147"/>
      <c r="Q681" s="147"/>
      <c r="R681" s="147"/>
      <c r="S681" s="147"/>
      <c r="T681" s="147"/>
      <c r="U681" s="147"/>
      <c r="V681" s="147"/>
      <c r="W681" s="147">
        <v>348</v>
      </c>
      <c r="X681" s="221">
        <f t="shared" si="95"/>
        <v>0</v>
      </c>
    </row>
    <row r="682" spans="2:24" ht="78.75">
      <c r="B682" s="304"/>
      <c r="C682" s="304"/>
      <c r="D682" s="308"/>
      <c r="E682" s="290" t="s">
        <v>707</v>
      </c>
      <c r="F682" s="32">
        <v>138818</v>
      </c>
      <c r="G682" s="18">
        <f t="shared" si="94"/>
        <v>0.9940518520652942</v>
      </c>
      <c r="H682" s="253">
        <v>137992.29</v>
      </c>
      <c r="I682" s="270">
        <v>3132</v>
      </c>
      <c r="J682" s="9">
        <v>825.71</v>
      </c>
      <c r="K682" s="147"/>
      <c r="L682" s="9">
        <v>825.71</v>
      </c>
      <c r="M682" s="147"/>
      <c r="N682" s="147"/>
      <c r="O682" s="147"/>
      <c r="P682" s="147"/>
      <c r="Q682" s="147"/>
      <c r="R682" s="147"/>
      <c r="S682" s="147"/>
      <c r="T682" s="147"/>
      <c r="U682" s="147"/>
      <c r="V682" s="147"/>
      <c r="W682" s="147">
        <v>825.71</v>
      </c>
      <c r="X682" s="221">
        <f t="shared" si="95"/>
        <v>0</v>
      </c>
    </row>
    <row r="683" spans="2:24" ht="78.75">
      <c r="B683" s="304"/>
      <c r="C683" s="304"/>
      <c r="D683" s="308"/>
      <c r="E683" s="290" t="s">
        <v>447</v>
      </c>
      <c r="F683" s="32">
        <v>133097</v>
      </c>
      <c r="G683" s="18">
        <f t="shared" si="94"/>
        <v>0.9937961787267933</v>
      </c>
      <c r="H683" s="253">
        <v>132271.29</v>
      </c>
      <c r="I683" s="270">
        <v>3132</v>
      </c>
      <c r="J683" s="9">
        <v>825.71</v>
      </c>
      <c r="K683" s="147"/>
      <c r="L683" s="9">
        <v>825.71</v>
      </c>
      <c r="M683" s="147"/>
      <c r="N683" s="147"/>
      <c r="O683" s="147"/>
      <c r="P683" s="147"/>
      <c r="Q683" s="147"/>
      <c r="R683" s="147"/>
      <c r="S683" s="147"/>
      <c r="T683" s="147"/>
      <c r="U683" s="147"/>
      <c r="V683" s="147"/>
      <c r="W683" s="147">
        <v>825.71</v>
      </c>
      <c r="X683" s="221">
        <f t="shared" si="95"/>
        <v>0</v>
      </c>
    </row>
    <row r="684" spans="2:24" ht="78.75">
      <c r="B684" s="304"/>
      <c r="C684" s="304"/>
      <c r="D684" s="308"/>
      <c r="E684" s="290" t="s">
        <v>448</v>
      </c>
      <c r="F684" s="32">
        <v>127630</v>
      </c>
      <c r="G684" s="18">
        <f t="shared" si="94"/>
        <v>0.9935304395518294</v>
      </c>
      <c r="H684" s="253">
        <v>126804.29</v>
      </c>
      <c r="I684" s="270">
        <v>3132</v>
      </c>
      <c r="J684" s="9">
        <v>825.71</v>
      </c>
      <c r="K684" s="147"/>
      <c r="L684" s="9">
        <v>825.71</v>
      </c>
      <c r="M684" s="147"/>
      <c r="N684" s="147"/>
      <c r="O684" s="147"/>
      <c r="P684" s="147"/>
      <c r="Q684" s="147"/>
      <c r="R684" s="147"/>
      <c r="S684" s="147"/>
      <c r="T684" s="147"/>
      <c r="U684" s="147"/>
      <c r="V684" s="147"/>
      <c r="W684" s="147">
        <v>825.71</v>
      </c>
      <c r="X684" s="221">
        <f t="shared" si="95"/>
        <v>0</v>
      </c>
    </row>
    <row r="685" spans="2:24" ht="78.75">
      <c r="B685" s="304"/>
      <c r="C685" s="304"/>
      <c r="D685" s="308"/>
      <c r="E685" s="290" t="s">
        <v>449</v>
      </c>
      <c r="F685" s="32">
        <v>244666</v>
      </c>
      <c r="G685" s="18">
        <f t="shared" si="94"/>
        <v>0.18163492271096116</v>
      </c>
      <c r="H685" s="253">
        <v>44439.89</v>
      </c>
      <c r="I685" s="270">
        <v>3132</v>
      </c>
      <c r="J685" s="9">
        <v>95769.11</v>
      </c>
      <c r="K685" s="147"/>
      <c r="L685" s="9">
        <v>95769.11</v>
      </c>
      <c r="M685" s="147"/>
      <c r="N685" s="147"/>
      <c r="O685" s="147"/>
      <c r="P685" s="147"/>
      <c r="Q685" s="147"/>
      <c r="R685" s="147"/>
      <c r="S685" s="147"/>
      <c r="T685" s="147"/>
      <c r="U685" s="147"/>
      <c r="V685" s="147"/>
      <c r="W685" s="147">
        <v>95769.11</v>
      </c>
      <c r="X685" s="221">
        <f t="shared" si="95"/>
        <v>0</v>
      </c>
    </row>
    <row r="686" spans="2:24" ht="94.5">
      <c r="B686" s="304"/>
      <c r="C686" s="304"/>
      <c r="D686" s="308"/>
      <c r="E686" s="290" t="s">
        <v>450</v>
      </c>
      <c r="F686" s="32">
        <v>363762</v>
      </c>
      <c r="G686" s="18">
        <f t="shared" si="94"/>
        <v>0.967574952853789</v>
      </c>
      <c r="H686" s="253">
        <v>351967</v>
      </c>
      <c r="I686" s="270">
        <v>3132</v>
      </c>
      <c r="J686" s="9">
        <v>11795</v>
      </c>
      <c r="K686" s="147"/>
      <c r="L686" s="9">
        <v>11795</v>
      </c>
      <c r="M686" s="147"/>
      <c r="N686" s="147"/>
      <c r="O686" s="147"/>
      <c r="P686" s="147"/>
      <c r="Q686" s="147"/>
      <c r="R686" s="147"/>
      <c r="S686" s="147"/>
      <c r="T686" s="147"/>
      <c r="U686" s="147"/>
      <c r="V686" s="147"/>
      <c r="W686" s="147">
        <v>11795</v>
      </c>
      <c r="X686" s="221">
        <f t="shared" si="95"/>
        <v>0</v>
      </c>
    </row>
    <row r="687" spans="2:24" ht="110.25">
      <c r="B687" s="304"/>
      <c r="C687" s="304"/>
      <c r="D687" s="308"/>
      <c r="E687" s="290" t="s">
        <v>321</v>
      </c>
      <c r="F687" s="32">
        <v>1050150</v>
      </c>
      <c r="G687" s="18">
        <f t="shared" si="94"/>
        <v>0.7899134695043566</v>
      </c>
      <c r="H687" s="253">
        <v>829527.63</v>
      </c>
      <c r="I687" s="270">
        <v>3132</v>
      </c>
      <c r="J687" s="9">
        <v>108605.17</v>
      </c>
      <c r="K687" s="147"/>
      <c r="L687" s="9">
        <v>108605.17</v>
      </c>
      <c r="M687" s="147"/>
      <c r="N687" s="147"/>
      <c r="O687" s="147"/>
      <c r="P687" s="147"/>
      <c r="Q687" s="147"/>
      <c r="R687" s="147"/>
      <c r="S687" s="147"/>
      <c r="T687" s="147"/>
      <c r="U687" s="147"/>
      <c r="V687" s="147"/>
      <c r="W687" s="147">
        <v>108605.17</v>
      </c>
      <c r="X687" s="221">
        <f t="shared" si="95"/>
        <v>0</v>
      </c>
    </row>
    <row r="688" spans="2:24" ht="78.75">
      <c r="B688" s="304"/>
      <c r="C688" s="304"/>
      <c r="D688" s="308"/>
      <c r="E688" s="290" t="s">
        <v>322</v>
      </c>
      <c r="F688" s="32">
        <v>449549</v>
      </c>
      <c r="G688" s="18">
        <f t="shared" si="94"/>
        <v>0.9906727631470652</v>
      </c>
      <c r="H688" s="253">
        <v>445355.95</v>
      </c>
      <c r="I688" s="270">
        <v>3132</v>
      </c>
      <c r="J688" s="9">
        <v>4193.05</v>
      </c>
      <c r="K688" s="147"/>
      <c r="L688" s="9">
        <v>4193.05</v>
      </c>
      <c r="M688" s="147"/>
      <c r="N688" s="147"/>
      <c r="O688" s="147"/>
      <c r="P688" s="147"/>
      <c r="Q688" s="147"/>
      <c r="R688" s="147"/>
      <c r="S688" s="147"/>
      <c r="T688" s="147"/>
      <c r="U688" s="147"/>
      <c r="V688" s="147"/>
      <c r="W688" s="147">
        <v>4193.05</v>
      </c>
      <c r="X688" s="221">
        <f t="shared" si="95"/>
        <v>0</v>
      </c>
    </row>
    <row r="689" spans="2:24" ht="78.75">
      <c r="B689" s="304"/>
      <c r="C689" s="304"/>
      <c r="D689" s="308"/>
      <c r="E689" s="290" t="s">
        <v>323</v>
      </c>
      <c r="F689" s="32">
        <v>318479</v>
      </c>
      <c r="G689" s="18">
        <f t="shared" si="94"/>
        <v>0.5308918641417488</v>
      </c>
      <c r="H689" s="253">
        <v>169077.91</v>
      </c>
      <c r="I689" s="270">
        <v>3132</v>
      </c>
      <c r="J689" s="9">
        <v>49960.56</v>
      </c>
      <c r="K689" s="147"/>
      <c r="L689" s="9">
        <v>49960.56</v>
      </c>
      <c r="M689" s="147"/>
      <c r="N689" s="147"/>
      <c r="O689" s="147"/>
      <c r="P689" s="147"/>
      <c r="Q689" s="147"/>
      <c r="R689" s="147"/>
      <c r="S689" s="147"/>
      <c r="T689" s="147"/>
      <c r="U689" s="147"/>
      <c r="V689" s="147"/>
      <c r="W689" s="147">
        <v>49960.56</v>
      </c>
      <c r="X689" s="221">
        <f t="shared" si="95"/>
        <v>0</v>
      </c>
    </row>
    <row r="690" spans="2:24" ht="63">
      <c r="B690" s="304"/>
      <c r="C690" s="304"/>
      <c r="D690" s="308"/>
      <c r="E690" s="290" t="s">
        <v>324</v>
      </c>
      <c r="F690" s="32">
        <v>129286</v>
      </c>
      <c r="G690" s="18">
        <f t="shared" si="94"/>
        <v>0.9240567424160389</v>
      </c>
      <c r="H690" s="253">
        <v>119467.6</v>
      </c>
      <c r="I690" s="270">
        <v>3132</v>
      </c>
      <c r="J690" s="9">
        <v>8949.6</v>
      </c>
      <c r="K690" s="147"/>
      <c r="L690" s="9">
        <v>8949.6</v>
      </c>
      <c r="M690" s="147"/>
      <c r="N690" s="147"/>
      <c r="O690" s="147"/>
      <c r="P690" s="147"/>
      <c r="Q690" s="147"/>
      <c r="R690" s="147"/>
      <c r="S690" s="147"/>
      <c r="T690" s="147"/>
      <c r="U690" s="147"/>
      <c r="V690" s="147"/>
      <c r="W690" s="147">
        <v>8949.6</v>
      </c>
      <c r="X690" s="221">
        <f t="shared" si="95"/>
        <v>0</v>
      </c>
    </row>
    <row r="691" spans="2:24" ht="47.25">
      <c r="B691" s="304"/>
      <c r="C691" s="304"/>
      <c r="D691" s="308"/>
      <c r="E691" s="12" t="s">
        <v>772</v>
      </c>
      <c r="F691" s="32"/>
      <c r="G691" s="18"/>
      <c r="H691" s="253"/>
      <c r="I691" s="270">
        <v>3132</v>
      </c>
      <c r="J691" s="9">
        <v>185000</v>
      </c>
      <c r="K691" s="147"/>
      <c r="L691" s="147"/>
      <c r="M691" s="147"/>
      <c r="N691" s="147"/>
      <c r="O691" s="147"/>
      <c r="P691" s="147">
        <v>185000</v>
      </c>
      <c r="Q691" s="147"/>
      <c r="R691" s="147"/>
      <c r="S691" s="147"/>
      <c r="T691" s="147"/>
      <c r="U691" s="147"/>
      <c r="V691" s="147"/>
      <c r="W691" s="147"/>
      <c r="X691" s="221">
        <f t="shared" si="95"/>
        <v>185000</v>
      </c>
    </row>
    <row r="692" spans="2:24" ht="47.25">
      <c r="B692" s="304"/>
      <c r="C692" s="304"/>
      <c r="D692" s="308"/>
      <c r="E692" s="12" t="s">
        <v>404</v>
      </c>
      <c r="F692" s="32"/>
      <c r="G692" s="18"/>
      <c r="H692" s="253"/>
      <c r="I692" s="270">
        <v>3122</v>
      </c>
      <c r="J692" s="9">
        <v>200000</v>
      </c>
      <c r="K692" s="147"/>
      <c r="L692" s="147"/>
      <c r="M692" s="147"/>
      <c r="N692" s="147"/>
      <c r="O692" s="147"/>
      <c r="P692" s="147"/>
      <c r="Q692" s="147"/>
      <c r="R692" s="147">
        <v>100000</v>
      </c>
      <c r="S692" s="147">
        <v>100000</v>
      </c>
      <c r="T692" s="147"/>
      <c r="U692" s="147"/>
      <c r="V692" s="147"/>
      <c r="W692" s="147"/>
      <c r="X692" s="221">
        <f t="shared" si="95"/>
        <v>100000</v>
      </c>
    </row>
    <row r="693" spans="2:24" ht="31.5">
      <c r="B693" s="304"/>
      <c r="C693" s="304"/>
      <c r="D693" s="308"/>
      <c r="E693" s="130" t="s">
        <v>405</v>
      </c>
      <c r="F693" s="66">
        <v>8707339</v>
      </c>
      <c r="G693" s="18">
        <f aca="true" t="shared" si="98" ref="G693:G699">100%-((F693-H693)/F693)</f>
        <v>0.28290235053441704</v>
      </c>
      <c r="H693" s="229">
        <v>2463326.67</v>
      </c>
      <c r="I693" s="270">
        <v>3142</v>
      </c>
      <c r="J693" s="66">
        <f>2300000+3500000</f>
        <v>5800000</v>
      </c>
      <c r="K693" s="147"/>
      <c r="L693" s="147"/>
      <c r="M693" s="147"/>
      <c r="N693" s="147"/>
      <c r="O693" s="147"/>
      <c r="P693" s="147">
        <v>760000</v>
      </c>
      <c r="Q693" s="147">
        <v>760000</v>
      </c>
      <c r="R693" s="147">
        <f>780000+1750000</f>
        <v>2530000</v>
      </c>
      <c r="S693" s="147">
        <f>1750000</f>
        <v>1750000</v>
      </c>
      <c r="T693" s="147"/>
      <c r="U693" s="147"/>
      <c r="V693" s="147"/>
      <c r="W693" s="147"/>
      <c r="X693" s="221">
        <f t="shared" si="95"/>
        <v>4050000</v>
      </c>
    </row>
    <row r="694" spans="2:24" ht="63">
      <c r="B694" s="304"/>
      <c r="C694" s="304"/>
      <c r="D694" s="308"/>
      <c r="E694" s="130" t="s">
        <v>406</v>
      </c>
      <c r="F694" s="66">
        <v>7807134</v>
      </c>
      <c r="G694" s="18">
        <f t="shared" si="98"/>
        <v>0.14354670228537125</v>
      </c>
      <c r="H694" s="229">
        <v>1120688.34</v>
      </c>
      <c r="I694" s="270">
        <v>3142</v>
      </c>
      <c r="J694" s="66">
        <v>100000</v>
      </c>
      <c r="K694" s="147"/>
      <c r="L694" s="147"/>
      <c r="M694" s="147"/>
      <c r="N694" s="147"/>
      <c r="O694" s="147"/>
      <c r="P694" s="147">
        <v>30000</v>
      </c>
      <c r="Q694" s="147"/>
      <c r="R694" s="147">
        <v>70000</v>
      </c>
      <c r="S694" s="147"/>
      <c r="T694" s="147"/>
      <c r="U694" s="147"/>
      <c r="V694" s="147"/>
      <c r="W694" s="147"/>
      <c r="X694" s="221">
        <f t="shared" si="95"/>
        <v>100000</v>
      </c>
    </row>
    <row r="695" spans="2:24" ht="63">
      <c r="B695" s="304"/>
      <c r="C695" s="304"/>
      <c r="D695" s="308"/>
      <c r="E695" s="130" t="s">
        <v>407</v>
      </c>
      <c r="F695" s="66">
        <v>5551896</v>
      </c>
      <c r="G695" s="18">
        <f t="shared" si="98"/>
        <v>0.19599683783702004</v>
      </c>
      <c r="H695" s="229">
        <v>1088154.06</v>
      </c>
      <c r="I695" s="270">
        <v>3142</v>
      </c>
      <c r="J695" s="66">
        <v>100000</v>
      </c>
      <c r="K695" s="147"/>
      <c r="L695" s="147"/>
      <c r="M695" s="147"/>
      <c r="N695" s="147"/>
      <c r="O695" s="147"/>
      <c r="P695" s="147">
        <v>29000</v>
      </c>
      <c r="Q695" s="147"/>
      <c r="R695" s="147">
        <v>71000</v>
      </c>
      <c r="S695" s="147"/>
      <c r="T695" s="147"/>
      <c r="U695" s="147"/>
      <c r="V695" s="147"/>
      <c r="W695" s="147"/>
      <c r="X695" s="221">
        <f t="shared" si="95"/>
        <v>100000</v>
      </c>
    </row>
    <row r="696" spans="2:24" ht="63">
      <c r="B696" s="304"/>
      <c r="C696" s="304"/>
      <c r="D696" s="308"/>
      <c r="E696" s="130" t="s">
        <v>326</v>
      </c>
      <c r="F696" s="66">
        <v>24072945</v>
      </c>
      <c r="G696" s="18">
        <f t="shared" si="98"/>
        <v>0.12326281433368458</v>
      </c>
      <c r="H696" s="229">
        <v>2967298.95</v>
      </c>
      <c r="I696" s="270">
        <v>3142</v>
      </c>
      <c r="J696" s="66">
        <f>100000+3641000</f>
        <v>3741000</v>
      </c>
      <c r="K696" s="147"/>
      <c r="L696" s="147"/>
      <c r="M696" s="147"/>
      <c r="N696" s="147"/>
      <c r="O696" s="147"/>
      <c r="P696" s="147">
        <v>10000</v>
      </c>
      <c r="Q696" s="147"/>
      <c r="R696" s="147">
        <f>90000+1820500</f>
        <v>1910500</v>
      </c>
      <c r="S696" s="147">
        <f>1820500</f>
        <v>1820500</v>
      </c>
      <c r="T696" s="147"/>
      <c r="U696" s="147"/>
      <c r="V696" s="147"/>
      <c r="W696" s="147"/>
      <c r="X696" s="221">
        <f t="shared" si="95"/>
        <v>1920500</v>
      </c>
    </row>
    <row r="697" spans="2:24" ht="63">
      <c r="B697" s="304"/>
      <c r="C697" s="304"/>
      <c r="D697" s="308"/>
      <c r="E697" s="130" t="s">
        <v>472</v>
      </c>
      <c r="F697" s="66">
        <v>8315988</v>
      </c>
      <c r="G697" s="18">
        <f t="shared" si="98"/>
        <v>0.10770126772669708</v>
      </c>
      <c r="H697" s="229">
        <v>895642.45</v>
      </c>
      <c r="I697" s="270">
        <v>3142</v>
      </c>
      <c r="J697" s="66">
        <v>100000</v>
      </c>
      <c r="K697" s="147"/>
      <c r="L697" s="147"/>
      <c r="M697" s="147"/>
      <c r="N697" s="147"/>
      <c r="O697" s="147"/>
      <c r="P697" s="147">
        <v>55000</v>
      </c>
      <c r="Q697" s="147"/>
      <c r="R697" s="147">
        <v>45000</v>
      </c>
      <c r="S697" s="147"/>
      <c r="T697" s="147"/>
      <c r="U697" s="147"/>
      <c r="V697" s="147"/>
      <c r="W697" s="147"/>
      <c r="X697" s="221">
        <f t="shared" si="95"/>
        <v>100000</v>
      </c>
    </row>
    <row r="698" spans="2:24" ht="63">
      <c r="B698" s="304"/>
      <c r="C698" s="304"/>
      <c r="D698" s="308"/>
      <c r="E698" s="130" t="s">
        <v>325</v>
      </c>
      <c r="F698" s="66">
        <v>10896104</v>
      </c>
      <c r="G698" s="18">
        <f t="shared" si="98"/>
        <v>0.19864864909512614</v>
      </c>
      <c r="H698" s="229">
        <v>2164496.34</v>
      </c>
      <c r="I698" s="270">
        <v>3142</v>
      </c>
      <c r="J698" s="66">
        <f>100000+2000000</f>
        <v>2100000</v>
      </c>
      <c r="K698" s="147"/>
      <c r="L698" s="147"/>
      <c r="M698" s="147"/>
      <c r="N698" s="147"/>
      <c r="O698" s="147"/>
      <c r="P698" s="147">
        <v>20000</v>
      </c>
      <c r="Q698" s="147"/>
      <c r="R698" s="147">
        <f>80000+1000000</f>
        <v>1080000</v>
      </c>
      <c r="S698" s="147">
        <f>1000000</f>
        <v>1000000</v>
      </c>
      <c r="T698" s="147"/>
      <c r="U698" s="147"/>
      <c r="V698" s="147"/>
      <c r="W698" s="147"/>
      <c r="X698" s="221">
        <f t="shared" si="95"/>
        <v>1100000</v>
      </c>
    </row>
    <row r="699" spans="2:24" ht="63">
      <c r="B699" s="304"/>
      <c r="C699" s="304"/>
      <c r="D699" s="308"/>
      <c r="E699" s="130" t="s">
        <v>578</v>
      </c>
      <c r="F699" s="66">
        <v>12970218</v>
      </c>
      <c r="G699" s="18">
        <f t="shared" si="98"/>
        <v>0.1291613602793723</v>
      </c>
      <c r="H699" s="229">
        <v>1675251</v>
      </c>
      <c r="I699" s="270">
        <v>3142</v>
      </c>
      <c r="J699" s="66">
        <f>100000+2858000</f>
        <v>2958000</v>
      </c>
      <c r="K699" s="147"/>
      <c r="L699" s="147"/>
      <c r="M699" s="147"/>
      <c r="N699" s="147"/>
      <c r="O699" s="147"/>
      <c r="P699" s="147">
        <v>20000</v>
      </c>
      <c r="Q699" s="147"/>
      <c r="R699" s="147">
        <f>80000+1429000</f>
        <v>1509000</v>
      </c>
      <c r="S699" s="147">
        <f>1429000</f>
        <v>1429000</v>
      </c>
      <c r="T699" s="147"/>
      <c r="U699" s="147"/>
      <c r="V699" s="147"/>
      <c r="W699" s="147"/>
      <c r="X699" s="221">
        <f t="shared" si="95"/>
        <v>1529000</v>
      </c>
    </row>
    <row r="700" spans="2:24" ht="31.5">
      <c r="B700" s="304"/>
      <c r="C700" s="304"/>
      <c r="D700" s="308"/>
      <c r="E700" s="130" t="s">
        <v>579</v>
      </c>
      <c r="F700" s="66">
        <v>51257653</v>
      </c>
      <c r="G700" s="18">
        <f t="shared" si="94"/>
        <v>0.992599153925366</v>
      </c>
      <c r="H700" s="229">
        <v>50878303</v>
      </c>
      <c r="I700" s="270">
        <v>3142</v>
      </c>
      <c r="J700" s="66">
        <v>200000</v>
      </c>
      <c r="K700" s="147"/>
      <c r="L700" s="147"/>
      <c r="M700" s="147"/>
      <c r="N700" s="147"/>
      <c r="O700" s="147"/>
      <c r="P700" s="147">
        <v>70000</v>
      </c>
      <c r="Q700" s="147"/>
      <c r="R700" s="147">
        <v>130000</v>
      </c>
      <c r="S700" s="147"/>
      <c r="T700" s="147"/>
      <c r="U700" s="147"/>
      <c r="V700" s="147"/>
      <c r="W700" s="147"/>
      <c r="X700" s="221">
        <f t="shared" si="95"/>
        <v>200000</v>
      </c>
    </row>
    <row r="701" spans="2:24" ht="31.5">
      <c r="B701" s="304"/>
      <c r="C701" s="304"/>
      <c r="D701" s="308"/>
      <c r="E701" s="130" t="s">
        <v>580</v>
      </c>
      <c r="F701" s="66">
        <v>5350936</v>
      </c>
      <c r="G701" s="18">
        <f t="shared" si="94"/>
        <v>0.925593578394509</v>
      </c>
      <c r="H701" s="229">
        <v>4952792</v>
      </c>
      <c r="I701" s="270">
        <v>3142</v>
      </c>
      <c r="J701" s="66">
        <v>200000</v>
      </c>
      <c r="K701" s="147"/>
      <c r="L701" s="147"/>
      <c r="M701" s="147"/>
      <c r="N701" s="147"/>
      <c r="O701" s="147"/>
      <c r="P701" s="147">
        <v>10000</v>
      </c>
      <c r="Q701" s="147"/>
      <c r="R701" s="147">
        <v>190000</v>
      </c>
      <c r="S701" s="147"/>
      <c r="T701" s="147"/>
      <c r="U701" s="147"/>
      <c r="V701" s="147"/>
      <c r="W701" s="147">
        <f>9087-5997+1281.6</f>
        <v>4371.6</v>
      </c>
      <c r="X701" s="221">
        <f t="shared" si="95"/>
        <v>195628.4</v>
      </c>
    </row>
    <row r="702" spans="2:24" ht="47.25">
      <c r="B702" s="304"/>
      <c r="C702" s="304"/>
      <c r="D702" s="308"/>
      <c r="E702" s="130" t="s">
        <v>581</v>
      </c>
      <c r="F702" s="66">
        <v>21096</v>
      </c>
      <c r="G702" s="18">
        <f t="shared" si="94"/>
        <v>0.6111717861205916</v>
      </c>
      <c r="H702" s="229">
        <v>12893.28</v>
      </c>
      <c r="I702" s="270">
        <v>3122</v>
      </c>
      <c r="J702" s="66">
        <v>12893.28</v>
      </c>
      <c r="K702" s="147"/>
      <c r="L702" s="147"/>
      <c r="M702" s="147"/>
      <c r="N702" s="147"/>
      <c r="O702" s="147"/>
      <c r="P702" s="147"/>
      <c r="Q702" s="147"/>
      <c r="R702" s="147"/>
      <c r="S702" s="147">
        <v>12893.28</v>
      </c>
      <c r="T702" s="147"/>
      <c r="U702" s="147"/>
      <c r="V702" s="147"/>
      <c r="W702" s="147"/>
      <c r="X702" s="221">
        <f t="shared" si="95"/>
        <v>0</v>
      </c>
    </row>
    <row r="703" spans="2:24" ht="47.25">
      <c r="B703" s="304"/>
      <c r="C703" s="304"/>
      <c r="D703" s="308"/>
      <c r="E703" s="130" t="s">
        <v>582</v>
      </c>
      <c r="F703" s="66">
        <v>121189</v>
      </c>
      <c r="G703" s="18">
        <f t="shared" si="94"/>
        <v>0.9489194563863057</v>
      </c>
      <c r="H703" s="229">
        <v>114998.6</v>
      </c>
      <c r="I703" s="270">
        <v>3122</v>
      </c>
      <c r="J703" s="66">
        <v>114998.6</v>
      </c>
      <c r="K703" s="147"/>
      <c r="L703" s="147"/>
      <c r="M703" s="147"/>
      <c r="N703" s="147"/>
      <c r="O703" s="147"/>
      <c r="P703" s="147"/>
      <c r="Q703" s="147">
        <v>60000</v>
      </c>
      <c r="R703" s="147">
        <v>54998.6</v>
      </c>
      <c r="S703" s="147"/>
      <c r="T703" s="147"/>
      <c r="U703" s="147"/>
      <c r="V703" s="147"/>
      <c r="W703" s="147"/>
      <c r="X703" s="221">
        <f t="shared" si="95"/>
        <v>114998.6</v>
      </c>
    </row>
    <row r="704" spans="2:24" ht="63">
      <c r="B704" s="304"/>
      <c r="C704" s="304"/>
      <c r="D704" s="308"/>
      <c r="E704" s="130" t="s">
        <v>583</v>
      </c>
      <c r="F704" s="66">
        <v>117496.73</v>
      </c>
      <c r="G704" s="18">
        <f t="shared" si="94"/>
        <v>1</v>
      </c>
      <c r="H704" s="229">
        <v>117496.73</v>
      </c>
      <c r="I704" s="270">
        <v>3122</v>
      </c>
      <c r="J704" s="66">
        <v>117496.73</v>
      </c>
      <c r="K704" s="147"/>
      <c r="L704" s="147"/>
      <c r="M704" s="147"/>
      <c r="N704" s="147"/>
      <c r="O704" s="147"/>
      <c r="P704" s="147"/>
      <c r="Q704" s="147">
        <v>60000</v>
      </c>
      <c r="R704" s="147">
        <v>57496.73</v>
      </c>
      <c r="S704" s="147"/>
      <c r="T704" s="147"/>
      <c r="U704" s="147"/>
      <c r="V704" s="147"/>
      <c r="W704" s="147"/>
      <c r="X704" s="221">
        <f t="shared" si="95"/>
        <v>117496.73000000001</v>
      </c>
    </row>
    <row r="705" spans="2:24" ht="31.5">
      <c r="B705" s="304"/>
      <c r="C705" s="304"/>
      <c r="D705" s="308"/>
      <c r="E705" s="130" t="s">
        <v>584</v>
      </c>
      <c r="F705" s="66">
        <v>320536</v>
      </c>
      <c r="G705" s="18">
        <f t="shared" si="94"/>
        <v>0.9690393590735518</v>
      </c>
      <c r="H705" s="229">
        <v>310612</v>
      </c>
      <c r="I705" s="270">
        <v>3122</v>
      </c>
      <c r="J705" s="66">
        <v>310611.39</v>
      </c>
      <c r="K705" s="147"/>
      <c r="L705" s="147"/>
      <c r="M705" s="147"/>
      <c r="N705" s="147"/>
      <c r="O705" s="147"/>
      <c r="P705" s="147">
        <v>155000</v>
      </c>
      <c r="Q705" s="147">
        <v>155611.39</v>
      </c>
      <c r="R705" s="147"/>
      <c r="S705" s="147"/>
      <c r="T705" s="147"/>
      <c r="U705" s="147"/>
      <c r="V705" s="147"/>
      <c r="W705" s="147">
        <v>146584.2</v>
      </c>
      <c r="X705" s="221">
        <f t="shared" si="95"/>
        <v>164027.19</v>
      </c>
    </row>
    <row r="706" spans="2:24" ht="47.25">
      <c r="B706" s="304"/>
      <c r="C706" s="304"/>
      <c r="D706" s="308"/>
      <c r="E706" s="130" t="s">
        <v>585</v>
      </c>
      <c r="F706" s="66">
        <v>4565810</v>
      </c>
      <c r="G706" s="18">
        <f t="shared" si="94"/>
        <v>0.5551377389773118</v>
      </c>
      <c r="H706" s="229">
        <v>2534653.44</v>
      </c>
      <c r="I706" s="270">
        <v>3142</v>
      </c>
      <c r="J706" s="66">
        <v>100000</v>
      </c>
      <c r="K706" s="147"/>
      <c r="L706" s="147"/>
      <c r="M706" s="147"/>
      <c r="N706" s="147"/>
      <c r="O706" s="147"/>
      <c r="P706" s="147">
        <v>30000</v>
      </c>
      <c r="Q706" s="147"/>
      <c r="R706" s="147">
        <v>70000</v>
      </c>
      <c r="S706" s="147"/>
      <c r="T706" s="147"/>
      <c r="U706" s="147"/>
      <c r="V706" s="147"/>
      <c r="W706" s="147"/>
      <c r="X706" s="221">
        <f t="shared" si="95"/>
        <v>100000</v>
      </c>
    </row>
    <row r="707" spans="2:24" ht="63">
      <c r="B707" s="304"/>
      <c r="C707" s="304"/>
      <c r="D707" s="308"/>
      <c r="E707" s="130" t="s">
        <v>586</v>
      </c>
      <c r="F707" s="66"/>
      <c r="G707" s="18"/>
      <c r="H707" s="229"/>
      <c r="I707" s="270">
        <v>3132</v>
      </c>
      <c r="J707" s="66">
        <v>11780</v>
      </c>
      <c r="K707" s="147"/>
      <c r="L707" s="147"/>
      <c r="M707" s="147"/>
      <c r="N707" s="147"/>
      <c r="O707" s="147">
        <v>11780</v>
      </c>
      <c r="P707" s="147"/>
      <c r="Q707" s="147"/>
      <c r="R707" s="147"/>
      <c r="S707" s="147"/>
      <c r="T707" s="147"/>
      <c r="U707" s="147"/>
      <c r="V707" s="147"/>
      <c r="W707" s="147"/>
      <c r="X707" s="221">
        <f t="shared" si="95"/>
        <v>11780</v>
      </c>
    </row>
    <row r="708" spans="2:24" ht="78.75">
      <c r="B708" s="304"/>
      <c r="C708" s="304"/>
      <c r="D708" s="308"/>
      <c r="E708" s="130" t="s">
        <v>587</v>
      </c>
      <c r="F708" s="66">
        <v>363762</v>
      </c>
      <c r="G708" s="18">
        <f t="shared" si="94"/>
        <v>0.9676656715104931</v>
      </c>
      <c r="H708" s="229">
        <v>352000</v>
      </c>
      <c r="I708" s="270">
        <v>3132</v>
      </c>
      <c r="J708" s="66">
        <v>352000</v>
      </c>
      <c r="K708" s="147"/>
      <c r="L708" s="147"/>
      <c r="M708" s="147"/>
      <c r="N708" s="147"/>
      <c r="O708" s="147"/>
      <c r="P708" s="147">
        <v>200000</v>
      </c>
      <c r="Q708" s="147">
        <v>152000</v>
      </c>
      <c r="R708" s="147"/>
      <c r="S708" s="147"/>
      <c r="T708" s="147"/>
      <c r="U708" s="147"/>
      <c r="V708" s="147"/>
      <c r="W708" s="147">
        <f>168677+164978</f>
        <v>333655</v>
      </c>
      <c r="X708" s="221">
        <f t="shared" si="95"/>
        <v>18345</v>
      </c>
    </row>
    <row r="709" spans="2:24" ht="63">
      <c r="B709" s="304"/>
      <c r="C709" s="304"/>
      <c r="D709" s="308"/>
      <c r="E709" s="130" t="s">
        <v>588</v>
      </c>
      <c r="F709" s="66">
        <v>400650</v>
      </c>
      <c r="G709" s="18">
        <f t="shared" si="94"/>
        <v>0.3076668913016348</v>
      </c>
      <c r="H709" s="229">
        <v>123266.74</v>
      </c>
      <c r="I709" s="270">
        <v>3132</v>
      </c>
      <c r="J709" s="76">
        <v>123266.74</v>
      </c>
      <c r="K709" s="147"/>
      <c r="L709" s="147"/>
      <c r="M709" s="147"/>
      <c r="N709" s="147"/>
      <c r="O709" s="147"/>
      <c r="P709" s="147">
        <v>123266.74</v>
      </c>
      <c r="Q709" s="147"/>
      <c r="R709" s="147"/>
      <c r="S709" s="147"/>
      <c r="T709" s="147"/>
      <c r="U709" s="147"/>
      <c r="V709" s="147"/>
      <c r="W709" s="147">
        <f>54847.2+36835.2</f>
        <v>91682.4</v>
      </c>
      <c r="X709" s="221">
        <f t="shared" si="95"/>
        <v>31584.34000000001</v>
      </c>
    </row>
    <row r="710" spans="2:24" ht="63">
      <c r="B710" s="304"/>
      <c r="C710" s="304"/>
      <c r="D710" s="308"/>
      <c r="E710" s="130" t="s">
        <v>589</v>
      </c>
      <c r="F710" s="66">
        <v>766000</v>
      </c>
      <c r="G710" s="18">
        <f>100%-((F710-H710)/F710)</f>
        <v>1</v>
      </c>
      <c r="H710" s="229">
        <v>766000</v>
      </c>
      <c r="I710" s="270">
        <v>3142</v>
      </c>
      <c r="J710" s="66">
        <f>416000+735906</f>
        <v>1151906</v>
      </c>
      <c r="K710" s="147"/>
      <c r="L710" s="147"/>
      <c r="M710" s="147"/>
      <c r="N710" s="147"/>
      <c r="O710" s="147">
        <v>20000</v>
      </c>
      <c r="P710" s="147">
        <v>200000</v>
      </c>
      <c r="Q710" s="147">
        <v>100000</v>
      </c>
      <c r="R710" s="147">
        <f>96000+367953</f>
        <v>463953</v>
      </c>
      <c r="S710" s="147">
        <f>367953</f>
        <v>367953</v>
      </c>
      <c r="T710" s="147"/>
      <c r="U710" s="147"/>
      <c r="V710" s="147"/>
      <c r="W710" s="147">
        <f>14777+174875</f>
        <v>189652</v>
      </c>
      <c r="X710" s="221">
        <f t="shared" si="95"/>
        <v>594301</v>
      </c>
    </row>
    <row r="711" spans="2:24" ht="63">
      <c r="B711" s="304"/>
      <c r="C711" s="304"/>
      <c r="D711" s="308"/>
      <c r="E711" s="130" t="s">
        <v>476</v>
      </c>
      <c r="F711" s="66">
        <v>111422</v>
      </c>
      <c r="G711" s="18">
        <f t="shared" si="94"/>
        <v>0.07303126851070696</v>
      </c>
      <c r="H711" s="229">
        <v>8137.29</v>
      </c>
      <c r="I711" s="270">
        <v>3142</v>
      </c>
      <c r="J711" s="76">
        <v>8137.29</v>
      </c>
      <c r="K711" s="147"/>
      <c r="L711" s="147"/>
      <c r="M711" s="147"/>
      <c r="N711" s="147"/>
      <c r="O711" s="147">
        <v>8137.29</v>
      </c>
      <c r="P711" s="147"/>
      <c r="Q711" s="147"/>
      <c r="R711" s="147"/>
      <c r="S711" s="147"/>
      <c r="T711" s="147"/>
      <c r="U711" s="147"/>
      <c r="V711" s="147"/>
      <c r="W711" s="147"/>
      <c r="X711" s="221">
        <f t="shared" si="95"/>
        <v>8137.29</v>
      </c>
    </row>
    <row r="712" spans="2:24" ht="63">
      <c r="B712" s="304"/>
      <c r="C712" s="304"/>
      <c r="D712" s="308"/>
      <c r="E712" s="130" t="s">
        <v>477</v>
      </c>
      <c r="F712" s="66">
        <v>132126</v>
      </c>
      <c r="G712" s="18">
        <f t="shared" si="94"/>
        <v>0.3766508484325568</v>
      </c>
      <c r="H712" s="229">
        <v>49765.37</v>
      </c>
      <c r="I712" s="270">
        <v>3142</v>
      </c>
      <c r="J712" s="76">
        <v>49765.37</v>
      </c>
      <c r="K712" s="147"/>
      <c r="L712" s="147"/>
      <c r="M712" s="147"/>
      <c r="N712" s="147"/>
      <c r="O712" s="147">
        <v>49765.37</v>
      </c>
      <c r="P712" s="147"/>
      <c r="Q712" s="147"/>
      <c r="R712" s="147"/>
      <c r="S712" s="147"/>
      <c r="T712" s="147"/>
      <c r="U712" s="147"/>
      <c r="V712" s="147"/>
      <c r="W712" s="147"/>
      <c r="X712" s="221">
        <f t="shared" si="95"/>
        <v>49765.37</v>
      </c>
    </row>
    <row r="713" spans="2:24" ht="63">
      <c r="B713" s="304"/>
      <c r="C713" s="304"/>
      <c r="D713" s="308"/>
      <c r="E713" s="130" t="s">
        <v>305</v>
      </c>
      <c r="F713" s="66">
        <v>318479</v>
      </c>
      <c r="G713" s="18">
        <f t="shared" si="94"/>
        <v>0.6931557810719073</v>
      </c>
      <c r="H713" s="229">
        <v>220755.56</v>
      </c>
      <c r="I713" s="270">
        <v>3132</v>
      </c>
      <c r="J713" s="76">
        <v>220755.56</v>
      </c>
      <c r="K713" s="147"/>
      <c r="L713" s="147"/>
      <c r="M713" s="147"/>
      <c r="N713" s="147"/>
      <c r="O713" s="147">
        <v>100000</v>
      </c>
      <c r="P713" s="147">
        <v>120755.56</v>
      </c>
      <c r="Q713" s="147"/>
      <c r="R713" s="147"/>
      <c r="S713" s="147"/>
      <c r="T713" s="147"/>
      <c r="U713" s="147"/>
      <c r="V713" s="147"/>
      <c r="W713" s="147"/>
      <c r="X713" s="221">
        <f t="shared" si="95"/>
        <v>220755.56</v>
      </c>
    </row>
    <row r="714" spans="2:24" ht="47.25">
      <c r="B714" s="304"/>
      <c r="C714" s="304"/>
      <c r="D714" s="308"/>
      <c r="E714" s="130" t="s">
        <v>306</v>
      </c>
      <c r="F714" s="66">
        <v>117808</v>
      </c>
      <c r="G714" s="18">
        <f t="shared" si="94"/>
        <v>0.932150617954638</v>
      </c>
      <c r="H714" s="229">
        <v>109814.8</v>
      </c>
      <c r="I714" s="270">
        <v>3132</v>
      </c>
      <c r="J714" s="76">
        <v>109814.8</v>
      </c>
      <c r="K714" s="147"/>
      <c r="L714" s="147"/>
      <c r="M714" s="147"/>
      <c r="N714" s="147"/>
      <c r="O714" s="147"/>
      <c r="P714" s="147">
        <v>90000</v>
      </c>
      <c r="Q714" s="147">
        <v>19814.8</v>
      </c>
      <c r="R714" s="147"/>
      <c r="S714" s="147"/>
      <c r="T714" s="147"/>
      <c r="U714" s="147"/>
      <c r="V714" s="147"/>
      <c r="W714" s="147"/>
      <c r="X714" s="221">
        <f t="shared" si="95"/>
        <v>109814.8</v>
      </c>
    </row>
    <row r="715" spans="2:24" ht="63">
      <c r="B715" s="304"/>
      <c r="C715" s="304"/>
      <c r="D715" s="308"/>
      <c r="E715" s="130" t="s">
        <v>307</v>
      </c>
      <c r="F715" s="66">
        <v>589979</v>
      </c>
      <c r="G715" s="18">
        <f t="shared" si="94"/>
        <v>0.6984312661976104</v>
      </c>
      <c r="H715" s="229">
        <v>412059.78</v>
      </c>
      <c r="I715" s="270">
        <v>3132</v>
      </c>
      <c r="J715" s="76">
        <v>412059.78</v>
      </c>
      <c r="K715" s="147"/>
      <c r="L715" s="147"/>
      <c r="M715" s="147"/>
      <c r="N715" s="147"/>
      <c r="O715" s="147">
        <v>100000</v>
      </c>
      <c r="P715" s="147">
        <v>200000</v>
      </c>
      <c r="Q715" s="147">
        <v>112059.78</v>
      </c>
      <c r="R715" s="147"/>
      <c r="S715" s="147"/>
      <c r="T715" s="147"/>
      <c r="U715" s="147"/>
      <c r="V715" s="147"/>
      <c r="W715" s="147"/>
      <c r="X715" s="221">
        <f t="shared" si="95"/>
        <v>412059.78</v>
      </c>
    </row>
    <row r="716" spans="2:24" ht="78.75">
      <c r="B716" s="304"/>
      <c r="C716" s="304"/>
      <c r="D716" s="308"/>
      <c r="E716" s="130" t="s">
        <v>308</v>
      </c>
      <c r="F716" s="66">
        <v>134000</v>
      </c>
      <c r="G716" s="18">
        <f aca="true" t="shared" si="99" ref="G716:G723">100%-((F716-H716)/F716)</f>
        <v>1</v>
      </c>
      <c r="H716" s="229">
        <v>134000</v>
      </c>
      <c r="I716" s="270">
        <v>3142</v>
      </c>
      <c r="J716" s="66">
        <v>134000</v>
      </c>
      <c r="K716" s="147"/>
      <c r="L716" s="147"/>
      <c r="M716" s="147"/>
      <c r="N716" s="147"/>
      <c r="O716" s="147"/>
      <c r="P716" s="147"/>
      <c r="Q716" s="147">
        <v>30000</v>
      </c>
      <c r="R716" s="147">
        <v>50000</v>
      </c>
      <c r="S716" s="147">
        <v>54000</v>
      </c>
      <c r="T716" s="147"/>
      <c r="U716" s="147"/>
      <c r="V716" s="147"/>
      <c r="W716" s="147">
        <f>4785.73</f>
        <v>4785.73</v>
      </c>
      <c r="X716" s="221">
        <f t="shared" si="95"/>
        <v>75214.27</v>
      </c>
    </row>
    <row r="717" spans="2:24" ht="63">
      <c r="B717" s="304"/>
      <c r="C717" s="304"/>
      <c r="D717" s="308"/>
      <c r="E717" s="130" t="s">
        <v>309</v>
      </c>
      <c r="F717" s="66">
        <v>979985</v>
      </c>
      <c r="G717" s="18">
        <f t="shared" si="99"/>
        <v>0.08163390255973302</v>
      </c>
      <c r="H717" s="229">
        <v>80000</v>
      </c>
      <c r="I717" s="270">
        <v>3132</v>
      </c>
      <c r="J717" s="66">
        <v>80000</v>
      </c>
      <c r="K717" s="147"/>
      <c r="L717" s="147"/>
      <c r="M717" s="147"/>
      <c r="N717" s="147"/>
      <c r="O717" s="147"/>
      <c r="P717" s="147">
        <v>80000</v>
      </c>
      <c r="Q717" s="147"/>
      <c r="R717" s="147"/>
      <c r="S717" s="147"/>
      <c r="T717" s="147"/>
      <c r="U717" s="147"/>
      <c r="V717" s="147"/>
      <c r="W717" s="147"/>
      <c r="X717" s="221">
        <f t="shared" si="95"/>
        <v>80000</v>
      </c>
    </row>
    <row r="718" spans="2:24" ht="63">
      <c r="B718" s="304"/>
      <c r="C718" s="304"/>
      <c r="D718" s="308"/>
      <c r="E718" s="130" t="s">
        <v>313</v>
      </c>
      <c r="F718" s="66">
        <v>244666</v>
      </c>
      <c r="G718" s="18">
        <f t="shared" si="99"/>
        <v>0.18392420687794786</v>
      </c>
      <c r="H718" s="229">
        <v>45000</v>
      </c>
      <c r="I718" s="270">
        <v>3132</v>
      </c>
      <c r="J718" s="66">
        <f>45000-3000</f>
        <v>42000</v>
      </c>
      <c r="K718" s="147"/>
      <c r="L718" s="147"/>
      <c r="M718" s="147"/>
      <c r="N718" s="147"/>
      <c r="O718" s="147">
        <v>15000</v>
      </c>
      <c r="P718" s="147">
        <v>-3000</v>
      </c>
      <c r="Q718" s="147">
        <v>30000</v>
      </c>
      <c r="R718" s="147"/>
      <c r="S718" s="147"/>
      <c r="T718" s="147"/>
      <c r="U718" s="147"/>
      <c r="V718" s="147"/>
      <c r="W718" s="147"/>
      <c r="X718" s="221">
        <f t="shared" si="95"/>
        <v>42000</v>
      </c>
    </row>
    <row r="719" spans="2:24" ht="78.75">
      <c r="B719" s="304"/>
      <c r="C719" s="304"/>
      <c r="D719" s="308"/>
      <c r="E719" s="130" t="s">
        <v>512</v>
      </c>
      <c r="F719" s="66">
        <v>1050150</v>
      </c>
      <c r="G719" s="18">
        <f t="shared" si="99"/>
        <v>0.789913440937009</v>
      </c>
      <c r="H719" s="229">
        <v>829527.6</v>
      </c>
      <c r="I719" s="270">
        <v>3132</v>
      </c>
      <c r="J719" s="66">
        <f>753000-743000</f>
        <v>10000</v>
      </c>
      <c r="K719" s="147"/>
      <c r="L719" s="147"/>
      <c r="M719" s="147"/>
      <c r="N719" s="147"/>
      <c r="O719" s="147"/>
      <c r="P719" s="147">
        <v>10000</v>
      </c>
      <c r="Q719" s="147"/>
      <c r="R719" s="147"/>
      <c r="S719" s="147"/>
      <c r="T719" s="147"/>
      <c r="U719" s="147"/>
      <c r="V719" s="147"/>
      <c r="W719" s="147"/>
      <c r="X719" s="221">
        <f t="shared" si="95"/>
        <v>10000</v>
      </c>
    </row>
    <row r="720" spans="2:24" ht="63">
      <c r="B720" s="304"/>
      <c r="C720" s="304"/>
      <c r="D720" s="308"/>
      <c r="E720" s="130" t="s">
        <v>314</v>
      </c>
      <c r="F720" s="66">
        <v>148000</v>
      </c>
      <c r="G720" s="18">
        <f t="shared" si="99"/>
        <v>1</v>
      </c>
      <c r="H720" s="229">
        <v>148000</v>
      </c>
      <c r="I720" s="270">
        <v>3132</v>
      </c>
      <c r="J720" s="66">
        <v>148000</v>
      </c>
      <c r="K720" s="147"/>
      <c r="L720" s="147"/>
      <c r="M720" s="147"/>
      <c r="N720" s="147"/>
      <c r="O720" s="147">
        <v>50000</v>
      </c>
      <c r="P720" s="147">
        <v>50000</v>
      </c>
      <c r="Q720" s="147">
        <v>48000</v>
      </c>
      <c r="R720" s="147"/>
      <c r="S720" s="147"/>
      <c r="T720" s="147"/>
      <c r="U720" s="147"/>
      <c r="V720" s="147"/>
      <c r="W720" s="147"/>
      <c r="X720" s="221">
        <f t="shared" si="95"/>
        <v>148000</v>
      </c>
    </row>
    <row r="721" spans="2:24" ht="63">
      <c r="B721" s="304"/>
      <c r="C721" s="304"/>
      <c r="D721" s="308"/>
      <c r="E721" s="130" t="s">
        <v>315</v>
      </c>
      <c r="F721" s="66">
        <v>133097</v>
      </c>
      <c r="G721" s="18">
        <f t="shared" si="99"/>
        <v>0.9937961787267933</v>
      </c>
      <c r="H721" s="229">
        <v>132271.29</v>
      </c>
      <c r="I721" s="270">
        <v>3132</v>
      </c>
      <c r="J721" s="66">
        <v>125500</v>
      </c>
      <c r="K721" s="147"/>
      <c r="L721" s="147"/>
      <c r="M721" s="147"/>
      <c r="N721" s="147"/>
      <c r="O721" s="147"/>
      <c r="P721" s="147">
        <v>87850</v>
      </c>
      <c r="Q721" s="147">
        <v>37650</v>
      </c>
      <c r="R721" s="147"/>
      <c r="S721" s="147"/>
      <c r="T721" s="147"/>
      <c r="U721" s="147"/>
      <c r="V721" s="147"/>
      <c r="W721" s="147"/>
      <c r="X721" s="221">
        <f t="shared" si="95"/>
        <v>125500</v>
      </c>
    </row>
    <row r="722" spans="2:24" ht="47.25">
      <c r="B722" s="304"/>
      <c r="C722" s="304"/>
      <c r="D722" s="308"/>
      <c r="E722" s="130" t="s">
        <v>316</v>
      </c>
      <c r="F722" s="66">
        <v>273003</v>
      </c>
      <c r="G722" s="18">
        <f t="shared" si="99"/>
        <v>0.999989011109768</v>
      </c>
      <c r="H722" s="229">
        <v>273000</v>
      </c>
      <c r="I722" s="270">
        <v>3142</v>
      </c>
      <c r="J722" s="66">
        <v>273000</v>
      </c>
      <c r="K722" s="147"/>
      <c r="L722" s="147"/>
      <c r="M722" s="147"/>
      <c r="N722" s="147"/>
      <c r="O722" s="147">
        <v>90000</v>
      </c>
      <c r="P722" s="147">
        <v>90000</v>
      </c>
      <c r="Q722" s="147">
        <v>93000</v>
      </c>
      <c r="R722" s="147"/>
      <c r="S722" s="147"/>
      <c r="T722" s="147"/>
      <c r="U722" s="147"/>
      <c r="V722" s="147"/>
      <c r="W722" s="147">
        <f>122436.5+118554.5+3568</f>
        <v>244559</v>
      </c>
      <c r="X722" s="221">
        <f t="shared" si="95"/>
        <v>28441</v>
      </c>
    </row>
    <row r="723" spans="2:24" ht="63">
      <c r="B723" s="304"/>
      <c r="C723" s="304"/>
      <c r="D723" s="308"/>
      <c r="E723" s="130" t="s">
        <v>317</v>
      </c>
      <c r="F723" s="66">
        <v>475000</v>
      </c>
      <c r="G723" s="133">
        <f t="shared" si="99"/>
        <v>0.99116</v>
      </c>
      <c r="H723" s="229">
        <v>470801</v>
      </c>
      <c r="I723" s="270">
        <v>3132</v>
      </c>
      <c r="J723" s="66">
        <v>2100</v>
      </c>
      <c r="K723" s="147"/>
      <c r="L723" s="147"/>
      <c r="M723" s="147"/>
      <c r="N723" s="147"/>
      <c r="O723" s="147">
        <v>2100</v>
      </c>
      <c r="P723" s="147"/>
      <c r="Q723" s="147"/>
      <c r="R723" s="147"/>
      <c r="S723" s="147"/>
      <c r="T723" s="147"/>
      <c r="U723" s="147"/>
      <c r="V723" s="147"/>
      <c r="W723" s="147">
        <v>2051.95</v>
      </c>
      <c r="X723" s="221">
        <f t="shared" si="95"/>
        <v>48.05000000000018</v>
      </c>
    </row>
    <row r="724" spans="2:24" ht="31.5">
      <c r="B724" s="304"/>
      <c r="C724" s="304"/>
      <c r="D724" s="308"/>
      <c r="E724" s="130" t="s">
        <v>698</v>
      </c>
      <c r="F724" s="66"/>
      <c r="G724" s="133"/>
      <c r="H724" s="229"/>
      <c r="I724" s="270">
        <v>3132</v>
      </c>
      <c r="J724" s="66">
        <v>300000</v>
      </c>
      <c r="K724" s="147"/>
      <c r="L724" s="147"/>
      <c r="M724" s="147"/>
      <c r="N724" s="147"/>
      <c r="O724" s="147"/>
      <c r="P724" s="147"/>
      <c r="Q724" s="147">
        <v>100000</v>
      </c>
      <c r="R724" s="147">
        <v>100000</v>
      </c>
      <c r="S724" s="147">
        <v>100000</v>
      </c>
      <c r="T724" s="147"/>
      <c r="U724" s="147"/>
      <c r="V724" s="147"/>
      <c r="W724" s="147">
        <v>48143.1</v>
      </c>
      <c r="X724" s="221">
        <f t="shared" si="95"/>
        <v>151856.9</v>
      </c>
    </row>
    <row r="725" spans="2:24" ht="63">
      <c r="B725" s="304"/>
      <c r="C725" s="304"/>
      <c r="D725" s="308"/>
      <c r="E725" s="134" t="s">
        <v>132</v>
      </c>
      <c r="F725" s="49"/>
      <c r="G725" s="129"/>
      <c r="H725" s="231"/>
      <c r="I725" s="270">
        <v>3122</v>
      </c>
      <c r="J725" s="21">
        <v>380000</v>
      </c>
      <c r="K725" s="147"/>
      <c r="L725" s="147"/>
      <c r="M725" s="147"/>
      <c r="N725" s="147"/>
      <c r="O725" s="147"/>
      <c r="P725" s="147"/>
      <c r="Q725" s="147">
        <v>50000</v>
      </c>
      <c r="R725" s="147">
        <v>110000</v>
      </c>
      <c r="S725" s="147">
        <v>110000</v>
      </c>
      <c r="T725" s="147">
        <v>110000</v>
      </c>
      <c r="U725" s="147"/>
      <c r="V725" s="147"/>
      <c r="W725" s="147"/>
      <c r="X725" s="221">
        <f t="shared" si="95"/>
        <v>160000</v>
      </c>
    </row>
    <row r="726" spans="2:24" ht="15.75">
      <c r="B726" s="311" t="s">
        <v>814</v>
      </c>
      <c r="C726" s="311" t="s">
        <v>353</v>
      </c>
      <c r="D726" s="307" t="s">
        <v>612</v>
      </c>
      <c r="E726" s="12"/>
      <c r="F726" s="32"/>
      <c r="G726" s="18"/>
      <c r="H726" s="253"/>
      <c r="I726" s="270"/>
      <c r="J726" s="220">
        <f>J727</f>
        <v>285000</v>
      </c>
      <c r="K726" s="220">
        <f aca="true" t="shared" si="100" ref="K726:W726">K727</f>
        <v>0</v>
      </c>
      <c r="L726" s="220">
        <f t="shared" si="100"/>
        <v>0</v>
      </c>
      <c r="M726" s="220">
        <f t="shared" si="100"/>
        <v>0</v>
      </c>
      <c r="N726" s="220">
        <f t="shared" si="100"/>
        <v>0</v>
      </c>
      <c r="O726" s="220">
        <f t="shared" si="100"/>
        <v>95000</v>
      </c>
      <c r="P726" s="220">
        <f t="shared" si="100"/>
        <v>180000</v>
      </c>
      <c r="Q726" s="220">
        <f t="shared" si="100"/>
        <v>100000</v>
      </c>
      <c r="R726" s="220">
        <f t="shared" si="100"/>
        <v>-90000</v>
      </c>
      <c r="S726" s="220">
        <f t="shared" si="100"/>
        <v>0</v>
      </c>
      <c r="T726" s="220">
        <f t="shared" si="100"/>
        <v>0</v>
      </c>
      <c r="U726" s="220">
        <f t="shared" si="100"/>
        <v>0</v>
      </c>
      <c r="V726" s="220">
        <f t="shared" si="100"/>
        <v>0</v>
      </c>
      <c r="W726" s="220">
        <f t="shared" si="100"/>
        <v>0</v>
      </c>
      <c r="X726" s="221">
        <f t="shared" si="95"/>
        <v>285000</v>
      </c>
    </row>
    <row r="727" spans="2:24" ht="31.5">
      <c r="B727" s="313"/>
      <c r="C727" s="313"/>
      <c r="D727" s="308"/>
      <c r="E727" s="135" t="s">
        <v>133</v>
      </c>
      <c r="F727" s="32"/>
      <c r="G727" s="18"/>
      <c r="H727" s="253"/>
      <c r="I727" s="270"/>
      <c r="J727" s="26">
        <f>SUM(J728:J730)</f>
        <v>285000</v>
      </c>
      <c r="K727" s="26">
        <f aca="true" t="shared" si="101" ref="K727:W727">SUM(K728:K730)</f>
        <v>0</v>
      </c>
      <c r="L727" s="26">
        <f t="shared" si="101"/>
        <v>0</v>
      </c>
      <c r="M727" s="26">
        <f t="shared" si="101"/>
        <v>0</v>
      </c>
      <c r="N727" s="26">
        <f t="shared" si="101"/>
        <v>0</v>
      </c>
      <c r="O727" s="26">
        <f t="shared" si="101"/>
        <v>95000</v>
      </c>
      <c r="P727" s="26">
        <f t="shared" si="101"/>
        <v>180000</v>
      </c>
      <c r="Q727" s="26">
        <f t="shared" si="101"/>
        <v>100000</v>
      </c>
      <c r="R727" s="26">
        <f t="shared" si="101"/>
        <v>-90000</v>
      </c>
      <c r="S727" s="26">
        <f t="shared" si="101"/>
        <v>0</v>
      </c>
      <c r="T727" s="26">
        <f t="shared" si="101"/>
        <v>0</v>
      </c>
      <c r="U727" s="26">
        <f t="shared" si="101"/>
        <v>0</v>
      </c>
      <c r="V727" s="26">
        <f t="shared" si="101"/>
        <v>0</v>
      </c>
      <c r="W727" s="26">
        <f t="shared" si="101"/>
        <v>0</v>
      </c>
      <c r="X727" s="221">
        <f t="shared" si="95"/>
        <v>285000</v>
      </c>
    </row>
    <row r="728" spans="2:24" ht="15.75">
      <c r="B728" s="313"/>
      <c r="C728" s="313"/>
      <c r="D728" s="308"/>
      <c r="E728" s="53" t="s">
        <v>134</v>
      </c>
      <c r="F728" s="49"/>
      <c r="G728" s="129"/>
      <c r="H728" s="231"/>
      <c r="I728" s="263">
        <v>3210</v>
      </c>
      <c r="J728" s="21">
        <f>305000-100000</f>
        <v>205000</v>
      </c>
      <c r="K728" s="147"/>
      <c r="L728" s="147"/>
      <c r="M728" s="147"/>
      <c r="N728" s="147"/>
      <c r="O728" s="147"/>
      <c r="P728" s="147">
        <v>100000</v>
      </c>
      <c r="Q728" s="147">
        <v>100000</v>
      </c>
      <c r="R728" s="147">
        <f>105000-100000</f>
        <v>5000</v>
      </c>
      <c r="S728" s="147"/>
      <c r="T728" s="147"/>
      <c r="U728" s="147"/>
      <c r="V728" s="147"/>
      <c r="W728" s="147"/>
      <c r="X728" s="221">
        <f t="shared" si="95"/>
        <v>205000</v>
      </c>
    </row>
    <row r="729" spans="2:24" ht="47.25">
      <c r="B729" s="313"/>
      <c r="C729" s="313"/>
      <c r="D729" s="308"/>
      <c r="E729" s="136" t="s">
        <v>135</v>
      </c>
      <c r="F729" s="49"/>
      <c r="G729" s="129"/>
      <c r="H729" s="231"/>
      <c r="I729" s="263">
        <v>3210</v>
      </c>
      <c r="J729" s="21">
        <f>95000-95000</f>
        <v>0</v>
      </c>
      <c r="K729" s="147"/>
      <c r="L729" s="147"/>
      <c r="M729" s="147"/>
      <c r="N729" s="147"/>
      <c r="O729" s="147">
        <v>95000</v>
      </c>
      <c r="P729" s="147"/>
      <c r="Q729" s="147"/>
      <c r="R729" s="147">
        <v>-95000</v>
      </c>
      <c r="S729" s="147"/>
      <c r="T729" s="147"/>
      <c r="U729" s="147"/>
      <c r="V729" s="147"/>
      <c r="W729" s="147"/>
      <c r="X729" s="221">
        <f t="shared" si="95"/>
        <v>0</v>
      </c>
    </row>
    <row r="730" spans="2:24" ht="31.5">
      <c r="B730" s="312"/>
      <c r="C730" s="312"/>
      <c r="D730" s="310"/>
      <c r="E730" s="136" t="s">
        <v>136</v>
      </c>
      <c r="F730" s="49"/>
      <c r="G730" s="129"/>
      <c r="H730" s="231"/>
      <c r="I730" s="263">
        <v>3210</v>
      </c>
      <c r="J730" s="21">
        <v>80000</v>
      </c>
      <c r="K730" s="147"/>
      <c r="L730" s="147"/>
      <c r="M730" s="147"/>
      <c r="N730" s="147"/>
      <c r="O730" s="147"/>
      <c r="P730" s="147">
        <v>80000</v>
      </c>
      <c r="Q730" s="147"/>
      <c r="R730" s="147"/>
      <c r="S730" s="147"/>
      <c r="T730" s="147"/>
      <c r="U730" s="147"/>
      <c r="V730" s="147"/>
      <c r="W730" s="147"/>
      <c r="X730" s="221">
        <f t="shared" si="95"/>
        <v>80000</v>
      </c>
    </row>
    <row r="731" spans="2:24" ht="15.75">
      <c r="B731" s="316" t="s">
        <v>815</v>
      </c>
      <c r="C731" s="316" t="s">
        <v>745</v>
      </c>
      <c r="D731" s="318" t="s">
        <v>824</v>
      </c>
      <c r="E731" s="94"/>
      <c r="F731" s="76"/>
      <c r="G731" s="99"/>
      <c r="H731" s="235"/>
      <c r="I731" s="266"/>
      <c r="J731" s="222">
        <f>J732+J733+J734+J735+J742+J746+J736+J737+J740+J739+J738</f>
        <v>3365616.33</v>
      </c>
      <c r="K731" s="222">
        <f aca="true" t="shared" si="102" ref="K731:W731">K732+K733+K734+K735+K742+K746+K736+K737+K740+K739+K738</f>
        <v>0</v>
      </c>
      <c r="L731" s="222">
        <f t="shared" si="102"/>
        <v>1345116.33</v>
      </c>
      <c r="M731" s="222">
        <f t="shared" si="102"/>
        <v>0</v>
      </c>
      <c r="N731" s="222">
        <f t="shared" si="102"/>
        <v>0</v>
      </c>
      <c r="O731" s="222">
        <f t="shared" si="102"/>
        <v>280625</v>
      </c>
      <c r="P731" s="222">
        <f t="shared" si="102"/>
        <v>70625</v>
      </c>
      <c r="Q731" s="222">
        <f t="shared" si="102"/>
        <v>1320625</v>
      </c>
      <c r="R731" s="222">
        <f t="shared" si="102"/>
        <v>107625</v>
      </c>
      <c r="S731" s="222">
        <f t="shared" si="102"/>
        <v>164625</v>
      </c>
      <c r="T731" s="222">
        <f t="shared" si="102"/>
        <v>47125</v>
      </c>
      <c r="U731" s="222">
        <f t="shared" si="102"/>
        <v>14625</v>
      </c>
      <c r="V731" s="222">
        <f t="shared" si="102"/>
        <v>14625</v>
      </c>
      <c r="W731" s="222">
        <f t="shared" si="102"/>
        <v>1559067.53</v>
      </c>
      <c r="X731" s="221">
        <f aca="true" t="shared" si="103" ref="X731:X780">K731+L731+M731+N731+O731+P731+Q731+R731-W731</f>
        <v>1565548.8</v>
      </c>
    </row>
    <row r="732" spans="2:24" ht="94.5">
      <c r="B732" s="316"/>
      <c r="C732" s="316"/>
      <c r="D732" s="318"/>
      <c r="E732" s="19" t="s">
        <v>140</v>
      </c>
      <c r="F732" s="66">
        <v>540490</v>
      </c>
      <c r="G732" s="18">
        <f aca="true" t="shared" si="104" ref="G732:G737">100%-((F732-H732)/F732)</f>
        <v>0.20536920202038889</v>
      </c>
      <c r="H732" s="229">
        <v>111000</v>
      </c>
      <c r="I732" s="262">
        <v>3132</v>
      </c>
      <c r="J732" s="32">
        <v>168187.97</v>
      </c>
      <c r="K732" s="147"/>
      <c r="L732" s="32">
        <v>168187.97</v>
      </c>
      <c r="M732" s="147"/>
      <c r="N732" s="147"/>
      <c r="O732" s="147"/>
      <c r="P732" s="147"/>
      <c r="Q732" s="147"/>
      <c r="R732" s="147"/>
      <c r="S732" s="147"/>
      <c r="T732" s="147"/>
      <c r="U732" s="147"/>
      <c r="V732" s="147"/>
      <c r="W732" s="147">
        <v>168187.97</v>
      </c>
      <c r="X732" s="221">
        <f t="shared" si="103"/>
        <v>0</v>
      </c>
    </row>
    <row r="733" spans="2:24" ht="63">
      <c r="B733" s="316"/>
      <c r="C733" s="316"/>
      <c r="D733" s="318"/>
      <c r="E733" s="10" t="s">
        <v>840</v>
      </c>
      <c r="F733" s="76">
        <v>1042551</v>
      </c>
      <c r="G733" s="18">
        <f t="shared" si="104"/>
        <v>0.39277043521132293</v>
      </c>
      <c r="H733" s="235">
        <v>409483.21</v>
      </c>
      <c r="I733" s="266">
        <v>3132</v>
      </c>
      <c r="J733" s="9">
        <v>6482.72</v>
      </c>
      <c r="K733" s="147"/>
      <c r="L733" s="9">
        <v>6482.72</v>
      </c>
      <c r="M733" s="147"/>
      <c r="N733" s="147"/>
      <c r="O733" s="147"/>
      <c r="P733" s="147"/>
      <c r="Q733" s="147"/>
      <c r="R733" s="147"/>
      <c r="S733" s="147"/>
      <c r="T733" s="147"/>
      <c r="U733" s="147"/>
      <c r="V733" s="147"/>
      <c r="W733" s="147">
        <v>6482.72</v>
      </c>
      <c r="X733" s="221">
        <f t="shared" si="103"/>
        <v>0</v>
      </c>
    </row>
    <row r="734" spans="2:24" ht="47.25">
      <c r="B734" s="316"/>
      <c r="C734" s="316"/>
      <c r="D734" s="318"/>
      <c r="E734" s="28" t="s">
        <v>141</v>
      </c>
      <c r="F734" s="76">
        <v>1012910</v>
      </c>
      <c r="G734" s="18">
        <f t="shared" si="104"/>
        <v>0.3662252322516314</v>
      </c>
      <c r="H734" s="235">
        <v>370953.2</v>
      </c>
      <c r="I734" s="266">
        <v>3132</v>
      </c>
      <c r="J734" s="9">
        <v>360763.46</v>
      </c>
      <c r="K734" s="147"/>
      <c r="L734" s="9">
        <v>360763.46</v>
      </c>
      <c r="M734" s="147"/>
      <c r="N734" s="147"/>
      <c r="O734" s="147"/>
      <c r="P734" s="147"/>
      <c r="Q734" s="147"/>
      <c r="R734" s="147"/>
      <c r="S734" s="147"/>
      <c r="T734" s="147"/>
      <c r="U734" s="147"/>
      <c r="V734" s="147"/>
      <c r="W734" s="147">
        <v>360763.46</v>
      </c>
      <c r="X734" s="221">
        <f t="shared" si="103"/>
        <v>0</v>
      </c>
    </row>
    <row r="735" spans="2:24" ht="47.25">
      <c r="B735" s="316"/>
      <c r="C735" s="316"/>
      <c r="D735" s="318"/>
      <c r="E735" s="28" t="s">
        <v>142</v>
      </c>
      <c r="F735" s="76">
        <v>1042551</v>
      </c>
      <c r="G735" s="18">
        <f t="shared" si="104"/>
        <v>0.39277043521132293</v>
      </c>
      <c r="H735" s="235">
        <v>409483.21</v>
      </c>
      <c r="I735" s="266">
        <v>3132</v>
      </c>
      <c r="J735" s="9">
        <v>2684.92</v>
      </c>
      <c r="K735" s="147"/>
      <c r="L735" s="9">
        <v>2684.92</v>
      </c>
      <c r="M735" s="147"/>
      <c r="N735" s="147"/>
      <c r="O735" s="147"/>
      <c r="P735" s="147"/>
      <c r="Q735" s="147"/>
      <c r="R735" s="147"/>
      <c r="S735" s="147"/>
      <c r="T735" s="147"/>
      <c r="U735" s="147"/>
      <c r="V735" s="147"/>
      <c r="W735" s="147">
        <v>2684.92</v>
      </c>
      <c r="X735" s="221">
        <f t="shared" si="103"/>
        <v>0</v>
      </c>
    </row>
    <row r="736" spans="2:24" ht="31.5">
      <c r="B736" s="316"/>
      <c r="C736" s="316"/>
      <c r="D736" s="318"/>
      <c r="E736" s="130" t="s">
        <v>137</v>
      </c>
      <c r="F736" s="66">
        <v>704692</v>
      </c>
      <c r="G736" s="18">
        <f t="shared" si="104"/>
        <v>0.07095298371487113</v>
      </c>
      <c r="H736" s="229">
        <v>50000</v>
      </c>
      <c r="I736" s="262">
        <v>3132</v>
      </c>
      <c r="J736" s="66">
        <v>50000</v>
      </c>
      <c r="K736" s="147"/>
      <c r="L736" s="147"/>
      <c r="M736" s="147"/>
      <c r="N736" s="147"/>
      <c r="O736" s="147">
        <v>50000</v>
      </c>
      <c r="P736" s="147"/>
      <c r="Q736" s="147"/>
      <c r="R736" s="147"/>
      <c r="S736" s="147"/>
      <c r="T736" s="147"/>
      <c r="U736" s="147"/>
      <c r="V736" s="147"/>
      <c r="W736" s="147"/>
      <c r="X736" s="221">
        <f t="shared" si="103"/>
        <v>50000</v>
      </c>
    </row>
    <row r="737" spans="2:24" ht="78.75">
      <c r="B737" s="316"/>
      <c r="C737" s="316"/>
      <c r="D737" s="318"/>
      <c r="E737" s="130" t="s">
        <v>138</v>
      </c>
      <c r="F737" s="66">
        <v>540490</v>
      </c>
      <c r="G737" s="18">
        <f t="shared" si="104"/>
        <v>0.20536920202038889</v>
      </c>
      <c r="H737" s="229">
        <v>111000</v>
      </c>
      <c r="I737" s="262">
        <v>3132</v>
      </c>
      <c r="J737" s="66">
        <v>110000</v>
      </c>
      <c r="K737" s="147"/>
      <c r="L737" s="147"/>
      <c r="M737" s="147"/>
      <c r="N737" s="147"/>
      <c r="O737" s="147">
        <v>110000</v>
      </c>
      <c r="P737" s="147"/>
      <c r="Q737" s="147"/>
      <c r="R737" s="147"/>
      <c r="S737" s="147"/>
      <c r="T737" s="147"/>
      <c r="U737" s="147"/>
      <c r="V737" s="147"/>
      <c r="W737" s="147">
        <f>91449.6+1413.39</f>
        <v>92862.99</v>
      </c>
      <c r="X737" s="221">
        <f t="shared" si="103"/>
        <v>17137.009999999995</v>
      </c>
    </row>
    <row r="738" spans="2:24" ht="31.5">
      <c r="B738" s="316"/>
      <c r="C738" s="316"/>
      <c r="D738" s="318"/>
      <c r="E738" s="130" t="s">
        <v>139</v>
      </c>
      <c r="F738" s="66"/>
      <c r="G738" s="18"/>
      <c r="H738" s="229"/>
      <c r="I738" s="262">
        <v>2281</v>
      </c>
      <c r="J738" s="66">
        <v>150000</v>
      </c>
      <c r="K738" s="147"/>
      <c r="L738" s="147"/>
      <c r="M738" s="147"/>
      <c r="N738" s="147"/>
      <c r="O738" s="147"/>
      <c r="P738" s="147"/>
      <c r="Q738" s="147"/>
      <c r="R738" s="147"/>
      <c r="S738" s="147">
        <v>150000</v>
      </c>
      <c r="T738" s="147"/>
      <c r="U738" s="147"/>
      <c r="V738" s="147"/>
      <c r="W738" s="147"/>
      <c r="X738" s="221">
        <f t="shared" si="103"/>
        <v>0</v>
      </c>
    </row>
    <row r="739" spans="2:24" ht="94.5">
      <c r="B739" s="316"/>
      <c r="C739" s="316"/>
      <c r="D739" s="318"/>
      <c r="E739" s="130" t="s">
        <v>810</v>
      </c>
      <c r="F739" s="66"/>
      <c r="G739" s="18"/>
      <c r="H739" s="229"/>
      <c r="I739" s="262">
        <v>3132</v>
      </c>
      <c r="J739" s="66">
        <f>100000+93000</f>
        <v>193000</v>
      </c>
      <c r="K739" s="147"/>
      <c r="L739" s="147"/>
      <c r="M739" s="147"/>
      <c r="N739" s="147"/>
      <c r="O739" s="147"/>
      <c r="P739" s="147">
        <v>50000</v>
      </c>
      <c r="Q739" s="147">
        <v>50000</v>
      </c>
      <c r="R739" s="147">
        <v>93000</v>
      </c>
      <c r="S739" s="147"/>
      <c r="T739" s="147"/>
      <c r="U739" s="147"/>
      <c r="V739" s="147"/>
      <c r="W739" s="147"/>
      <c r="X739" s="221">
        <f t="shared" si="103"/>
        <v>193000</v>
      </c>
    </row>
    <row r="740" spans="2:24" ht="47.25">
      <c r="B740" s="316"/>
      <c r="C740" s="316"/>
      <c r="D740" s="318"/>
      <c r="E740" s="137" t="s">
        <v>811</v>
      </c>
      <c r="F740" s="40"/>
      <c r="G740" s="138"/>
      <c r="H740" s="236"/>
      <c r="I740" s="267"/>
      <c r="J740" s="77">
        <f>J741</f>
        <v>20000</v>
      </c>
      <c r="K740" s="77">
        <f aca="true" t="shared" si="105" ref="K740:W740">K741</f>
        <v>0</v>
      </c>
      <c r="L740" s="77">
        <f t="shared" si="105"/>
        <v>0</v>
      </c>
      <c r="M740" s="77">
        <f t="shared" si="105"/>
        <v>0</v>
      </c>
      <c r="N740" s="77">
        <f t="shared" si="105"/>
        <v>0</v>
      </c>
      <c r="O740" s="77">
        <f t="shared" si="105"/>
        <v>0</v>
      </c>
      <c r="P740" s="77">
        <f t="shared" si="105"/>
        <v>0</v>
      </c>
      <c r="Q740" s="77">
        <f t="shared" si="105"/>
        <v>0</v>
      </c>
      <c r="R740" s="77">
        <f t="shared" si="105"/>
        <v>0</v>
      </c>
      <c r="S740" s="77">
        <f t="shared" si="105"/>
        <v>0</v>
      </c>
      <c r="T740" s="77">
        <f t="shared" si="105"/>
        <v>20000</v>
      </c>
      <c r="U740" s="77">
        <f t="shared" si="105"/>
        <v>0</v>
      </c>
      <c r="V740" s="77">
        <f t="shared" si="105"/>
        <v>0</v>
      </c>
      <c r="W740" s="77">
        <f t="shared" si="105"/>
        <v>0</v>
      </c>
      <c r="X740" s="221">
        <f t="shared" si="103"/>
        <v>0</v>
      </c>
    </row>
    <row r="741" spans="2:24" ht="47.25">
      <c r="B741" s="316"/>
      <c r="C741" s="316"/>
      <c r="D741" s="318"/>
      <c r="E741" s="130" t="s">
        <v>338</v>
      </c>
      <c r="F741" s="49"/>
      <c r="G741" s="18"/>
      <c r="H741" s="231"/>
      <c r="I741" s="263">
        <v>3110</v>
      </c>
      <c r="J741" s="21">
        <v>20000</v>
      </c>
      <c r="K741" s="147"/>
      <c r="L741" s="147"/>
      <c r="M741" s="147"/>
      <c r="N741" s="147"/>
      <c r="O741" s="147"/>
      <c r="P741" s="147"/>
      <c r="Q741" s="147"/>
      <c r="R741" s="147"/>
      <c r="S741" s="147"/>
      <c r="T741" s="147">
        <v>20000</v>
      </c>
      <c r="U741" s="147"/>
      <c r="V741" s="147"/>
      <c r="W741" s="147"/>
      <c r="X741" s="221">
        <f t="shared" si="103"/>
        <v>0</v>
      </c>
    </row>
    <row r="742" spans="2:24" ht="47.25">
      <c r="B742" s="316"/>
      <c r="C742" s="316"/>
      <c r="D742" s="318"/>
      <c r="E742" s="36" t="s">
        <v>604</v>
      </c>
      <c r="F742" s="76"/>
      <c r="G742" s="99"/>
      <c r="H742" s="235"/>
      <c r="I742" s="266"/>
      <c r="J742" s="37">
        <f>SUM(J743:J745)</f>
        <v>2042362.72</v>
      </c>
      <c r="K742" s="37">
        <f aca="true" t="shared" si="106" ref="K742:W742">SUM(K743:K745)</f>
        <v>0</v>
      </c>
      <c r="L742" s="37">
        <f t="shared" si="106"/>
        <v>779862.72</v>
      </c>
      <c r="M742" s="37">
        <f t="shared" si="106"/>
        <v>0</v>
      </c>
      <c r="N742" s="37">
        <f t="shared" si="106"/>
        <v>0</v>
      </c>
      <c r="O742" s="37">
        <f t="shared" si="106"/>
        <v>0</v>
      </c>
      <c r="P742" s="37">
        <f t="shared" si="106"/>
        <v>0</v>
      </c>
      <c r="Q742" s="37">
        <f t="shared" si="106"/>
        <v>1250000</v>
      </c>
      <c r="R742" s="37">
        <f t="shared" si="106"/>
        <v>0</v>
      </c>
      <c r="S742" s="37">
        <f t="shared" si="106"/>
        <v>0</v>
      </c>
      <c r="T742" s="37">
        <f t="shared" si="106"/>
        <v>12500</v>
      </c>
      <c r="U742" s="37">
        <f t="shared" si="106"/>
        <v>0</v>
      </c>
      <c r="V742" s="37">
        <f t="shared" si="106"/>
        <v>0</v>
      </c>
      <c r="W742" s="37">
        <f t="shared" si="106"/>
        <v>779862.72</v>
      </c>
      <c r="X742" s="221">
        <f t="shared" si="103"/>
        <v>1250000</v>
      </c>
    </row>
    <row r="743" spans="2:24" ht="47.25">
      <c r="B743" s="316"/>
      <c r="C743" s="316"/>
      <c r="D743" s="318"/>
      <c r="E743" s="10" t="s">
        <v>605</v>
      </c>
      <c r="F743" s="76"/>
      <c r="G743" s="99"/>
      <c r="H743" s="235"/>
      <c r="I743" s="266">
        <v>2281</v>
      </c>
      <c r="J743" s="9">
        <v>779862.72</v>
      </c>
      <c r="K743" s="147"/>
      <c r="L743" s="9">
        <v>779862.72</v>
      </c>
      <c r="M743" s="147"/>
      <c r="N743" s="147"/>
      <c r="O743" s="147"/>
      <c r="P743" s="147"/>
      <c r="Q743" s="147"/>
      <c r="R743" s="147"/>
      <c r="S743" s="147"/>
      <c r="T743" s="147"/>
      <c r="U743" s="147"/>
      <c r="V743" s="147"/>
      <c r="W743" s="147">
        <v>779862.72</v>
      </c>
      <c r="X743" s="221">
        <f t="shared" si="103"/>
        <v>0</v>
      </c>
    </row>
    <row r="744" spans="2:24" ht="47.25">
      <c r="B744" s="316"/>
      <c r="C744" s="316"/>
      <c r="D744" s="318"/>
      <c r="E744" s="10" t="s">
        <v>339</v>
      </c>
      <c r="F744" s="76"/>
      <c r="G744" s="99"/>
      <c r="H744" s="235"/>
      <c r="I744" s="266">
        <v>2281</v>
      </c>
      <c r="J744" s="9">
        <f>50000-37500</f>
        <v>12500</v>
      </c>
      <c r="K744" s="147"/>
      <c r="L744" s="147"/>
      <c r="M744" s="147"/>
      <c r="N744" s="147"/>
      <c r="O744" s="147"/>
      <c r="P744" s="147"/>
      <c r="Q744" s="147"/>
      <c r="R744" s="147"/>
      <c r="S744" s="147"/>
      <c r="T744" s="147">
        <f>50000-37500</f>
        <v>12500</v>
      </c>
      <c r="U744" s="147"/>
      <c r="V744" s="147"/>
      <c r="W744" s="147"/>
      <c r="X744" s="221">
        <f t="shared" si="103"/>
        <v>0</v>
      </c>
    </row>
    <row r="745" spans="2:24" ht="31.5">
      <c r="B745" s="316"/>
      <c r="C745" s="316"/>
      <c r="D745" s="318"/>
      <c r="E745" s="10" t="s">
        <v>340</v>
      </c>
      <c r="F745" s="76"/>
      <c r="G745" s="99"/>
      <c r="H745" s="235"/>
      <c r="I745" s="266">
        <v>2281</v>
      </c>
      <c r="J745" s="9">
        <f>1300000-50000</f>
        <v>1250000</v>
      </c>
      <c r="K745" s="147"/>
      <c r="L745" s="147"/>
      <c r="M745" s="147"/>
      <c r="N745" s="147"/>
      <c r="O745" s="147"/>
      <c r="P745" s="147"/>
      <c r="Q745" s="147">
        <f>1300000-50000</f>
        <v>1250000</v>
      </c>
      <c r="R745" s="147"/>
      <c r="S745" s="147"/>
      <c r="T745" s="147"/>
      <c r="U745" s="147"/>
      <c r="V745" s="147"/>
      <c r="W745" s="147"/>
      <c r="X745" s="221">
        <f t="shared" si="103"/>
        <v>1250000</v>
      </c>
    </row>
    <row r="746" spans="2:24" ht="47.25">
      <c r="B746" s="316"/>
      <c r="C746" s="316"/>
      <c r="D746" s="318"/>
      <c r="E746" s="36" t="s">
        <v>826</v>
      </c>
      <c r="F746" s="76"/>
      <c r="G746" s="99"/>
      <c r="H746" s="235"/>
      <c r="I746" s="266"/>
      <c r="J746" s="38">
        <f>SUM(J747:J750)</f>
        <v>262134.54</v>
      </c>
      <c r="K746" s="38">
        <f aca="true" t="shared" si="107" ref="K746:W746">SUM(K747:K750)</f>
        <v>0</v>
      </c>
      <c r="L746" s="38">
        <f t="shared" si="107"/>
        <v>27134.54</v>
      </c>
      <c r="M746" s="38">
        <f t="shared" si="107"/>
        <v>0</v>
      </c>
      <c r="N746" s="38">
        <f t="shared" si="107"/>
        <v>0</v>
      </c>
      <c r="O746" s="38">
        <f t="shared" si="107"/>
        <v>120625</v>
      </c>
      <c r="P746" s="38">
        <f t="shared" si="107"/>
        <v>20625</v>
      </c>
      <c r="Q746" s="38">
        <f t="shared" si="107"/>
        <v>20625</v>
      </c>
      <c r="R746" s="38">
        <f t="shared" si="107"/>
        <v>14625</v>
      </c>
      <c r="S746" s="38">
        <f t="shared" si="107"/>
        <v>14625</v>
      </c>
      <c r="T746" s="38">
        <f t="shared" si="107"/>
        <v>14625</v>
      </c>
      <c r="U746" s="38">
        <f t="shared" si="107"/>
        <v>14625</v>
      </c>
      <c r="V746" s="38">
        <f t="shared" si="107"/>
        <v>14625</v>
      </c>
      <c r="W746" s="38">
        <f t="shared" si="107"/>
        <v>148222.75</v>
      </c>
      <c r="X746" s="221">
        <f t="shared" si="103"/>
        <v>55411.79000000001</v>
      </c>
    </row>
    <row r="747" spans="2:24" ht="94.5">
      <c r="B747" s="316"/>
      <c r="C747" s="316"/>
      <c r="D747" s="318"/>
      <c r="E747" s="33" t="s">
        <v>143</v>
      </c>
      <c r="F747" s="76"/>
      <c r="G747" s="99"/>
      <c r="H747" s="235"/>
      <c r="I747" s="266">
        <v>2281</v>
      </c>
      <c r="J747" s="9">
        <v>11233</v>
      </c>
      <c r="K747" s="147"/>
      <c r="L747" s="9">
        <v>11233</v>
      </c>
      <c r="M747" s="147"/>
      <c r="N747" s="147"/>
      <c r="O747" s="147"/>
      <c r="P747" s="147"/>
      <c r="Q747" s="147"/>
      <c r="R747" s="147"/>
      <c r="S747" s="147"/>
      <c r="T747" s="147"/>
      <c r="U747" s="147"/>
      <c r="V747" s="147"/>
      <c r="W747" s="147">
        <v>11233</v>
      </c>
      <c r="X747" s="221">
        <f t="shared" si="103"/>
        <v>0</v>
      </c>
    </row>
    <row r="748" spans="2:24" ht="63">
      <c r="B748" s="316"/>
      <c r="C748" s="316"/>
      <c r="D748" s="318"/>
      <c r="E748" s="33" t="s">
        <v>144</v>
      </c>
      <c r="F748" s="76"/>
      <c r="G748" s="99"/>
      <c r="H748" s="235"/>
      <c r="I748" s="266">
        <v>2281</v>
      </c>
      <c r="J748" s="9">
        <v>15901.54</v>
      </c>
      <c r="K748" s="147"/>
      <c r="L748" s="9">
        <v>15901.54</v>
      </c>
      <c r="M748" s="147"/>
      <c r="N748" s="147"/>
      <c r="O748" s="147"/>
      <c r="P748" s="147"/>
      <c r="Q748" s="147"/>
      <c r="R748" s="147"/>
      <c r="S748" s="147"/>
      <c r="T748" s="147"/>
      <c r="U748" s="147"/>
      <c r="V748" s="147"/>
      <c r="W748" s="147">
        <v>15901.54</v>
      </c>
      <c r="X748" s="221">
        <f t="shared" si="103"/>
        <v>0</v>
      </c>
    </row>
    <row r="749" spans="2:24" ht="94.5">
      <c r="B749" s="316"/>
      <c r="C749" s="316"/>
      <c r="D749" s="318"/>
      <c r="E749" s="33" t="s">
        <v>341</v>
      </c>
      <c r="F749" s="76"/>
      <c r="G749" s="99"/>
      <c r="H749" s="235"/>
      <c r="I749" s="266">
        <v>2281</v>
      </c>
      <c r="J749" s="9">
        <v>85000</v>
      </c>
      <c r="K749" s="147"/>
      <c r="L749" s="147"/>
      <c r="M749" s="147"/>
      <c r="N749" s="147"/>
      <c r="O749" s="147">
        <v>10625</v>
      </c>
      <c r="P749" s="147">
        <v>10625</v>
      </c>
      <c r="Q749" s="147">
        <v>10625</v>
      </c>
      <c r="R749" s="147">
        <v>10625</v>
      </c>
      <c r="S749" s="147">
        <v>10625</v>
      </c>
      <c r="T749" s="147">
        <v>10625</v>
      </c>
      <c r="U749" s="147">
        <v>10625</v>
      </c>
      <c r="V749" s="147">
        <v>10625</v>
      </c>
      <c r="W749" s="147">
        <v>12000</v>
      </c>
      <c r="X749" s="221">
        <f t="shared" si="103"/>
        <v>30500</v>
      </c>
    </row>
    <row r="750" spans="2:24" ht="63">
      <c r="B750" s="316"/>
      <c r="C750" s="316"/>
      <c r="D750" s="318"/>
      <c r="E750" s="33" t="s">
        <v>342</v>
      </c>
      <c r="F750" s="76"/>
      <c r="G750" s="99"/>
      <c r="H750" s="235"/>
      <c r="I750" s="266">
        <v>2281</v>
      </c>
      <c r="J750" s="9">
        <v>150000</v>
      </c>
      <c r="K750" s="147"/>
      <c r="L750" s="147"/>
      <c r="M750" s="147"/>
      <c r="N750" s="147"/>
      <c r="O750" s="147">
        <v>110000</v>
      </c>
      <c r="P750" s="147">
        <v>10000</v>
      </c>
      <c r="Q750" s="147">
        <v>10000</v>
      </c>
      <c r="R750" s="147">
        <v>4000</v>
      </c>
      <c r="S750" s="147">
        <v>4000</v>
      </c>
      <c r="T750" s="147">
        <v>4000</v>
      </c>
      <c r="U750" s="147">
        <v>4000</v>
      </c>
      <c r="V750" s="147">
        <v>4000</v>
      </c>
      <c r="W750" s="147">
        <f>96329.71+12758.5</f>
        <v>109088.21</v>
      </c>
      <c r="X750" s="221">
        <f t="shared" si="103"/>
        <v>24911.789999999994</v>
      </c>
    </row>
    <row r="751" spans="2:24" ht="15.75">
      <c r="B751" s="204"/>
      <c r="C751" s="205"/>
      <c r="D751" s="319" t="s">
        <v>749</v>
      </c>
      <c r="E751" s="320"/>
      <c r="F751" s="142"/>
      <c r="G751" s="143"/>
      <c r="H751" s="254"/>
      <c r="I751" s="271"/>
      <c r="J751" s="58">
        <f>J754+J752</f>
        <v>399999.22</v>
      </c>
      <c r="K751" s="58">
        <f aca="true" t="shared" si="108" ref="K751:W751">K754+K752</f>
        <v>0</v>
      </c>
      <c r="L751" s="58">
        <f t="shared" si="108"/>
        <v>84949.29000000001</v>
      </c>
      <c r="M751" s="58">
        <f t="shared" si="108"/>
        <v>0</v>
      </c>
      <c r="N751" s="58">
        <f t="shared" si="108"/>
        <v>0</v>
      </c>
      <c r="O751" s="58">
        <f t="shared" si="108"/>
        <v>80977.93</v>
      </c>
      <c r="P751" s="58">
        <f t="shared" si="108"/>
        <v>137036</v>
      </c>
      <c r="Q751" s="58">
        <f t="shared" si="108"/>
        <v>0</v>
      </c>
      <c r="R751" s="58">
        <f t="shared" si="108"/>
        <v>97036</v>
      </c>
      <c r="S751" s="58">
        <f t="shared" si="108"/>
        <v>0</v>
      </c>
      <c r="T751" s="58">
        <f t="shared" si="108"/>
        <v>0</v>
      </c>
      <c r="U751" s="58">
        <f t="shared" si="108"/>
        <v>0</v>
      </c>
      <c r="V751" s="58">
        <f t="shared" si="108"/>
        <v>0</v>
      </c>
      <c r="W751" s="58">
        <f t="shared" si="108"/>
        <v>84949.29000000001</v>
      </c>
      <c r="X751" s="221">
        <f t="shared" si="103"/>
        <v>315049.92999999993</v>
      </c>
    </row>
    <row r="752" spans="2:24" ht="15.75">
      <c r="B752" s="366" t="s">
        <v>348</v>
      </c>
      <c r="C752" s="366" t="s">
        <v>346</v>
      </c>
      <c r="D752" s="367" t="s">
        <v>798</v>
      </c>
      <c r="E752" s="278"/>
      <c r="F752" s="57"/>
      <c r="G752" s="61"/>
      <c r="H752" s="57"/>
      <c r="I752" s="258"/>
      <c r="J752" s="201">
        <f>J753</f>
        <v>80000</v>
      </c>
      <c r="K752" s="201">
        <f aca="true" t="shared" si="109" ref="K752:W752">K753</f>
        <v>0</v>
      </c>
      <c r="L752" s="201">
        <f t="shared" si="109"/>
        <v>0</v>
      </c>
      <c r="M752" s="201">
        <f t="shared" si="109"/>
        <v>0</v>
      </c>
      <c r="N752" s="201">
        <f t="shared" si="109"/>
        <v>0</v>
      </c>
      <c r="O752" s="201">
        <f t="shared" si="109"/>
        <v>0</v>
      </c>
      <c r="P752" s="201">
        <f t="shared" si="109"/>
        <v>80000</v>
      </c>
      <c r="Q752" s="201">
        <f t="shared" si="109"/>
        <v>0</v>
      </c>
      <c r="R752" s="201">
        <f t="shared" si="109"/>
        <v>0</v>
      </c>
      <c r="S752" s="201">
        <f t="shared" si="109"/>
        <v>0</v>
      </c>
      <c r="T752" s="201">
        <f t="shared" si="109"/>
        <v>0</v>
      </c>
      <c r="U752" s="201">
        <f t="shared" si="109"/>
        <v>0</v>
      </c>
      <c r="V752" s="201">
        <f t="shared" si="109"/>
        <v>0</v>
      </c>
      <c r="W752" s="201">
        <f t="shared" si="109"/>
        <v>0</v>
      </c>
      <c r="X752" s="221">
        <f t="shared" si="103"/>
        <v>80000</v>
      </c>
    </row>
    <row r="753" spans="2:24" ht="31.5">
      <c r="B753" s="366"/>
      <c r="C753" s="366"/>
      <c r="D753" s="367"/>
      <c r="E753" s="31" t="s">
        <v>204</v>
      </c>
      <c r="F753" s="57"/>
      <c r="G753" s="61"/>
      <c r="H753" s="57"/>
      <c r="I753" s="258">
        <v>3110</v>
      </c>
      <c r="J753" s="57">
        <v>80000</v>
      </c>
      <c r="K753" s="57"/>
      <c r="L753" s="57"/>
      <c r="M753" s="57"/>
      <c r="N753" s="57"/>
      <c r="O753" s="57"/>
      <c r="P753" s="57">
        <v>80000</v>
      </c>
      <c r="Q753" s="57"/>
      <c r="R753" s="57"/>
      <c r="S753" s="57"/>
      <c r="T753" s="57"/>
      <c r="U753" s="57"/>
      <c r="V753" s="57"/>
      <c r="W753" s="57"/>
      <c r="X753" s="221">
        <f t="shared" si="103"/>
        <v>80000</v>
      </c>
    </row>
    <row r="754" spans="2:24" ht="15.75">
      <c r="B754" s="316" t="s">
        <v>815</v>
      </c>
      <c r="C754" s="316" t="s">
        <v>745</v>
      </c>
      <c r="D754" s="318" t="s">
        <v>824</v>
      </c>
      <c r="E754" s="214"/>
      <c r="F754" s="57"/>
      <c r="G754" s="61"/>
      <c r="H754" s="225"/>
      <c r="I754" s="258"/>
      <c r="J754" s="201">
        <f>J755+J759+J762+J763+J764+J765</f>
        <v>319999.22</v>
      </c>
      <c r="K754" s="201">
        <f aca="true" t="shared" si="110" ref="K754:W754">K755+K759+K762+K763+K764+K765</f>
        <v>0</v>
      </c>
      <c r="L754" s="201">
        <f t="shared" si="110"/>
        <v>84949.29000000001</v>
      </c>
      <c r="M754" s="201">
        <f t="shared" si="110"/>
        <v>0</v>
      </c>
      <c r="N754" s="201">
        <f t="shared" si="110"/>
        <v>0</v>
      </c>
      <c r="O754" s="201">
        <f t="shared" si="110"/>
        <v>80977.93</v>
      </c>
      <c r="P754" s="201">
        <f t="shared" si="110"/>
        <v>57036</v>
      </c>
      <c r="Q754" s="201">
        <f t="shared" si="110"/>
        <v>0</v>
      </c>
      <c r="R754" s="201">
        <f t="shared" si="110"/>
        <v>97036</v>
      </c>
      <c r="S754" s="201">
        <f t="shared" si="110"/>
        <v>0</v>
      </c>
      <c r="T754" s="201">
        <f t="shared" si="110"/>
        <v>0</v>
      </c>
      <c r="U754" s="201">
        <f t="shared" si="110"/>
        <v>0</v>
      </c>
      <c r="V754" s="201">
        <f t="shared" si="110"/>
        <v>0</v>
      </c>
      <c r="W754" s="201">
        <f t="shared" si="110"/>
        <v>84949.29000000001</v>
      </c>
      <c r="X754" s="221">
        <f t="shared" si="103"/>
        <v>235049.92999999996</v>
      </c>
    </row>
    <row r="755" spans="2:24" ht="63">
      <c r="B755" s="316"/>
      <c r="C755" s="316"/>
      <c r="D755" s="318"/>
      <c r="E755" s="39" t="s">
        <v>145</v>
      </c>
      <c r="F755" s="57"/>
      <c r="G755" s="61"/>
      <c r="H755" s="225"/>
      <c r="I755" s="258"/>
      <c r="J755" s="40">
        <f>J756+J757+J758</f>
        <v>223472</v>
      </c>
      <c r="K755" s="40">
        <f aca="true" t="shared" si="111" ref="K755:W755">K756+K757+K758</f>
        <v>0</v>
      </c>
      <c r="L755" s="40">
        <f t="shared" si="111"/>
        <v>5.7</v>
      </c>
      <c r="M755" s="40">
        <f t="shared" si="111"/>
        <v>0</v>
      </c>
      <c r="N755" s="40">
        <f t="shared" si="111"/>
        <v>0</v>
      </c>
      <c r="O755" s="40">
        <f t="shared" si="111"/>
        <v>29394.3</v>
      </c>
      <c r="P755" s="40">
        <f t="shared" si="111"/>
        <v>97036</v>
      </c>
      <c r="Q755" s="40">
        <f t="shared" si="111"/>
        <v>0</v>
      </c>
      <c r="R755" s="40">
        <f t="shared" si="111"/>
        <v>97036</v>
      </c>
      <c r="S755" s="40">
        <f t="shared" si="111"/>
        <v>0</v>
      </c>
      <c r="T755" s="40">
        <f t="shared" si="111"/>
        <v>0</v>
      </c>
      <c r="U755" s="40">
        <f t="shared" si="111"/>
        <v>0</v>
      </c>
      <c r="V755" s="40">
        <f t="shared" si="111"/>
        <v>0</v>
      </c>
      <c r="W755" s="40">
        <f t="shared" si="111"/>
        <v>5.7</v>
      </c>
      <c r="X755" s="221">
        <f t="shared" si="103"/>
        <v>223466.3</v>
      </c>
    </row>
    <row r="756" spans="2:24" ht="63">
      <c r="B756" s="316"/>
      <c r="C756" s="316"/>
      <c r="D756" s="318"/>
      <c r="E756" s="11" t="s">
        <v>146</v>
      </c>
      <c r="F756" s="57"/>
      <c r="G756" s="61"/>
      <c r="H756" s="225"/>
      <c r="I756" s="258">
        <v>3110</v>
      </c>
      <c r="J756" s="9">
        <v>5.7</v>
      </c>
      <c r="K756" s="147"/>
      <c r="L756" s="147">
        <v>5.7</v>
      </c>
      <c r="M756" s="147"/>
      <c r="N756" s="147"/>
      <c r="O756" s="147"/>
      <c r="P756" s="147"/>
      <c r="Q756" s="147"/>
      <c r="R756" s="147"/>
      <c r="S756" s="147"/>
      <c r="T756" s="147"/>
      <c r="U756" s="147"/>
      <c r="V756" s="147"/>
      <c r="W756" s="147">
        <v>5.7</v>
      </c>
      <c r="X756" s="221">
        <f t="shared" si="103"/>
        <v>0</v>
      </c>
    </row>
    <row r="757" spans="2:24" ht="47.25">
      <c r="B757" s="316"/>
      <c r="C757" s="316"/>
      <c r="D757" s="318"/>
      <c r="E757" s="139" t="s">
        <v>343</v>
      </c>
      <c r="F757" s="21"/>
      <c r="G757" s="140"/>
      <c r="H757" s="228"/>
      <c r="I757" s="261">
        <v>3110</v>
      </c>
      <c r="J757" s="141">
        <v>29394.3</v>
      </c>
      <c r="K757" s="210"/>
      <c r="L757" s="210"/>
      <c r="M757" s="210"/>
      <c r="N757" s="210"/>
      <c r="O757" s="210">
        <v>29394.3</v>
      </c>
      <c r="P757" s="210"/>
      <c r="Q757" s="210"/>
      <c r="R757" s="210"/>
      <c r="S757" s="210"/>
      <c r="T757" s="210"/>
      <c r="U757" s="210"/>
      <c r="V757" s="210"/>
      <c r="W757" s="147"/>
      <c r="X757" s="221">
        <f t="shared" si="103"/>
        <v>29394.3</v>
      </c>
    </row>
    <row r="758" spans="2:24" ht="47.25">
      <c r="B758" s="316"/>
      <c r="C758" s="316"/>
      <c r="D758" s="318"/>
      <c r="E758" s="139" t="s">
        <v>790</v>
      </c>
      <c r="F758" s="21"/>
      <c r="G758" s="140"/>
      <c r="H758" s="228"/>
      <c r="I758" s="261">
        <v>3132</v>
      </c>
      <c r="J758" s="141">
        <v>194072</v>
      </c>
      <c r="K758" s="210"/>
      <c r="L758" s="210"/>
      <c r="M758" s="210"/>
      <c r="N758" s="210"/>
      <c r="O758" s="210"/>
      <c r="P758" s="210">
        <v>97036</v>
      </c>
      <c r="Q758" s="210"/>
      <c r="R758" s="210">
        <v>97036</v>
      </c>
      <c r="S758" s="210"/>
      <c r="T758" s="210"/>
      <c r="U758" s="210"/>
      <c r="V758" s="210"/>
      <c r="W758" s="147"/>
      <c r="X758" s="221">
        <f t="shared" si="103"/>
        <v>194072</v>
      </c>
    </row>
    <row r="759" spans="2:24" ht="63">
      <c r="B759" s="316"/>
      <c r="C759" s="316"/>
      <c r="D759" s="318"/>
      <c r="E759" s="39" t="s">
        <v>147</v>
      </c>
      <c r="F759" s="57"/>
      <c r="G759" s="61"/>
      <c r="H759" s="225"/>
      <c r="I759" s="258"/>
      <c r="J759" s="40">
        <f>J760+J761</f>
        <v>38611.22</v>
      </c>
      <c r="K759" s="40">
        <f aca="true" t="shared" si="112" ref="K759:W759">K760+K761</f>
        <v>0</v>
      </c>
      <c r="L759" s="40">
        <f t="shared" si="112"/>
        <v>27027.59</v>
      </c>
      <c r="M759" s="40">
        <f t="shared" si="112"/>
        <v>0</v>
      </c>
      <c r="N759" s="40">
        <f t="shared" si="112"/>
        <v>0</v>
      </c>
      <c r="O759" s="40">
        <f t="shared" si="112"/>
        <v>11583.63</v>
      </c>
      <c r="P759" s="40">
        <f t="shared" si="112"/>
        <v>0</v>
      </c>
      <c r="Q759" s="40">
        <f t="shared" si="112"/>
        <v>0</v>
      </c>
      <c r="R759" s="40">
        <f t="shared" si="112"/>
        <v>0</v>
      </c>
      <c r="S759" s="40">
        <f t="shared" si="112"/>
        <v>0</v>
      </c>
      <c r="T759" s="40">
        <f t="shared" si="112"/>
        <v>0</v>
      </c>
      <c r="U759" s="40">
        <f t="shared" si="112"/>
        <v>0</v>
      </c>
      <c r="V759" s="40">
        <f t="shared" si="112"/>
        <v>0</v>
      </c>
      <c r="W759" s="40">
        <f t="shared" si="112"/>
        <v>27027.59</v>
      </c>
      <c r="X759" s="221">
        <f t="shared" si="103"/>
        <v>11583.630000000001</v>
      </c>
    </row>
    <row r="760" spans="2:24" ht="78.75">
      <c r="B760" s="316"/>
      <c r="C760" s="316"/>
      <c r="D760" s="318"/>
      <c r="E760" s="41" t="s">
        <v>148</v>
      </c>
      <c r="F760" s="57"/>
      <c r="G760" s="61"/>
      <c r="H760" s="225"/>
      <c r="I760" s="258">
        <v>3142</v>
      </c>
      <c r="J760" s="9">
        <v>27027.59</v>
      </c>
      <c r="K760" s="147"/>
      <c r="L760" s="147">
        <v>27027.59</v>
      </c>
      <c r="M760" s="147"/>
      <c r="N760" s="147"/>
      <c r="O760" s="147"/>
      <c r="P760" s="147"/>
      <c r="Q760" s="147"/>
      <c r="R760" s="147"/>
      <c r="S760" s="147"/>
      <c r="T760" s="147"/>
      <c r="U760" s="147"/>
      <c r="V760" s="147"/>
      <c r="W760" s="147">
        <v>27027.59</v>
      </c>
      <c r="X760" s="221">
        <f t="shared" si="103"/>
        <v>0</v>
      </c>
    </row>
    <row r="761" spans="2:24" ht="47.25">
      <c r="B761" s="316"/>
      <c r="C761" s="316"/>
      <c r="D761" s="318"/>
      <c r="E761" s="139" t="s">
        <v>203</v>
      </c>
      <c r="F761" s="21">
        <v>42140.22</v>
      </c>
      <c r="G761" s="140">
        <v>0.92</v>
      </c>
      <c r="H761" s="228">
        <v>38611.22</v>
      </c>
      <c r="I761" s="261">
        <v>3142</v>
      </c>
      <c r="J761" s="141">
        <v>11583.63</v>
      </c>
      <c r="K761" s="210"/>
      <c r="L761" s="210"/>
      <c r="M761" s="210"/>
      <c r="N761" s="210"/>
      <c r="O761" s="210">
        <v>11583.63</v>
      </c>
      <c r="P761" s="210"/>
      <c r="Q761" s="210"/>
      <c r="R761" s="210"/>
      <c r="S761" s="210"/>
      <c r="T761" s="210"/>
      <c r="U761" s="210"/>
      <c r="V761" s="210"/>
      <c r="W761" s="147"/>
      <c r="X761" s="221">
        <f t="shared" si="103"/>
        <v>11583.63</v>
      </c>
    </row>
    <row r="762" spans="2:24" ht="126">
      <c r="B762" s="316"/>
      <c r="C762" s="316"/>
      <c r="D762" s="318"/>
      <c r="E762" s="42" t="s">
        <v>149</v>
      </c>
      <c r="F762" s="57"/>
      <c r="G762" s="61"/>
      <c r="H762" s="225"/>
      <c r="I762" s="258">
        <v>3110</v>
      </c>
      <c r="J762" s="26">
        <v>57916</v>
      </c>
      <c r="K762" s="26"/>
      <c r="L762" s="147">
        <v>57916</v>
      </c>
      <c r="M762" s="26"/>
      <c r="N762" s="26"/>
      <c r="O762" s="26"/>
      <c r="P762" s="26"/>
      <c r="Q762" s="26"/>
      <c r="R762" s="26"/>
      <c r="S762" s="26"/>
      <c r="T762" s="26"/>
      <c r="U762" s="26"/>
      <c r="V762" s="26"/>
      <c r="W762" s="147">
        <v>57916</v>
      </c>
      <c r="X762" s="221">
        <f t="shared" si="103"/>
        <v>0</v>
      </c>
    </row>
    <row r="763" spans="2:24" ht="31.5" hidden="1">
      <c r="B763" s="316"/>
      <c r="C763" s="316"/>
      <c r="D763" s="318"/>
      <c r="E763" s="31" t="s">
        <v>204</v>
      </c>
      <c r="F763" s="21"/>
      <c r="G763" s="140"/>
      <c r="H763" s="228"/>
      <c r="I763" s="261">
        <v>3110</v>
      </c>
      <c r="J763" s="141">
        <f>80000-80000</f>
        <v>0</v>
      </c>
      <c r="K763" s="210"/>
      <c r="L763" s="210"/>
      <c r="M763" s="210"/>
      <c r="N763" s="210"/>
      <c r="O763" s="210">
        <v>40000</v>
      </c>
      <c r="P763" s="210">
        <f>40000-80000</f>
        <v>-40000</v>
      </c>
      <c r="Q763" s="210"/>
      <c r="R763" s="210"/>
      <c r="S763" s="210"/>
      <c r="T763" s="210"/>
      <c r="U763" s="210"/>
      <c r="V763" s="210"/>
      <c r="W763" s="147"/>
      <c r="X763" s="221">
        <f t="shared" si="103"/>
        <v>0</v>
      </c>
    </row>
    <row r="764" spans="2:24" ht="94.5" hidden="1">
      <c r="B764" s="316"/>
      <c r="C764" s="316"/>
      <c r="D764" s="318"/>
      <c r="E764" s="31" t="s">
        <v>205</v>
      </c>
      <c r="F764" s="21">
        <v>1100000</v>
      </c>
      <c r="G764" s="140">
        <v>1</v>
      </c>
      <c r="H764" s="228">
        <v>1100000</v>
      </c>
      <c r="I764" s="261">
        <v>3110</v>
      </c>
      <c r="J764" s="141">
        <f>1100000-1100000</f>
        <v>0</v>
      </c>
      <c r="K764" s="210"/>
      <c r="L764" s="210"/>
      <c r="M764" s="210"/>
      <c r="N764" s="210"/>
      <c r="O764" s="210"/>
      <c r="P764" s="210"/>
      <c r="Q764" s="210"/>
      <c r="R764" s="210">
        <f>550000-550000</f>
        <v>0</v>
      </c>
      <c r="S764" s="210">
        <f>550000-550000</f>
        <v>0</v>
      </c>
      <c r="T764" s="210"/>
      <c r="U764" s="210"/>
      <c r="V764" s="210"/>
      <c r="W764" s="147"/>
      <c r="X764" s="221">
        <f t="shared" si="103"/>
        <v>0</v>
      </c>
    </row>
    <row r="765" spans="2:24" ht="47.25" hidden="1">
      <c r="B765" s="316"/>
      <c r="C765" s="316"/>
      <c r="D765" s="318"/>
      <c r="E765" s="31" t="s">
        <v>184</v>
      </c>
      <c r="F765" s="21">
        <v>194072.78</v>
      </c>
      <c r="G765" s="140">
        <v>1</v>
      </c>
      <c r="H765" s="228">
        <v>194072.78</v>
      </c>
      <c r="I765" s="261">
        <v>3132</v>
      </c>
      <c r="J765" s="141">
        <f>194072-194072</f>
        <v>0</v>
      </c>
      <c r="K765" s="210"/>
      <c r="L765" s="210"/>
      <c r="M765" s="210"/>
      <c r="N765" s="210"/>
      <c r="O765" s="210"/>
      <c r="P765" s="210">
        <f>97036-97036</f>
        <v>0</v>
      </c>
      <c r="Q765" s="210"/>
      <c r="R765" s="210">
        <f>97036-97036</f>
        <v>0</v>
      </c>
      <c r="S765" s="210"/>
      <c r="T765" s="210"/>
      <c r="U765" s="210"/>
      <c r="V765" s="210"/>
      <c r="W765" s="147"/>
      <c r="X765" s="221">
        <f t="shared" si="103"/>
        <v>0</v>
      </c>
    </row>
    <row r="766" spans="2:24" ht="15.75">
      <c r="B766" s="215"/>
      <c r="C766" s="215"/>
      <c r="D766" s="314" t="s">
        <v>514</v>
      </c>
      <c r="E766" s="315"/>
      <c r="F766" s="142"/>
      <c r="G766" s="143"/>
      <c r="H766" s="254"/>
      <c r="I766" s="271"/>
      <c r="J766" s="144">
        <f>J767</f>
        <v>359000</v>
      </c>
      <c r="K766" s="144">
        <f aca="true" t="shared" si="113" ref="K766:W766">K767</f>
        <v>0</v>
      </c>
      <c r="L766" s="144">
        <f t="shared" si="113"/>
        <v>0</v>
      </c>
      <c r="M766" s="144">
        <f t="shared" si="113"/>
        <v>0</v>
      </c>
      <c r="N766" s="144">
        <f t="shared" si="113"/>
        <v>0</v>
      </c>
      <c r="O766" s="144">
        <f t="shared" si="113"/>
        <v>0</v>
      </c>
      <c r="P766" s="144">
        <f t="shared" si="113"/>
        <v>359000</v>
      </c>
      <c r="Q766" s="144">
        <f t="shared" si="113"/>
        <v>0</v>
      </c>
      <c r="R766" s="144">
        <f t="shared" si="113"/>
        <v>0</v>
      </c>
      <c r="S766" s="144">
        <f t="shared" si="113"/>
        <v>0</v>
      </c>
      <c r="T766" s="144">
        <f t="shared" si="113"/>
        <v>0</v>
      </c>
      <c r="U766" s="144">
        <f t="shared" si="113"/>
        <v>0</v>
      </c>
      <c r="V766" s="144">
        <f t="shared" si="113"/>
        <v>0</v>
      </c>
      <c r="W766" s="144">
        <f t="shared" si="113"/>
        <v>0</v>
      </c>
      <c r="X766" s="221">
        <f t="shared" si="103"/>
        <v>359000</v>
      </c>
    </row>
    <row r="767" spans="2:24" ht="15.75">
      <c r="B767" s="317" t="s">
        <v>348</v>
      </c>
      <c r="C767" s="317" t="s">
        <v>346</v>
      </c>
      <c r="D767" s="318" t="s">
        <v>798</v>
      </c>
      <c r="E767" s="42"/>
      <c r="F767" s="57"/>
      <c r="G767" s="61"/>
      <c r="H767" s="225"/>
      <c r="I767" s="258"/>
      <c r="J767" s="220">
        <f>J770+J769+J768</f>
        <v>359000</v>
      </c>
      <c r="K767" s="220">
        <f aca="true" t="shared" si="114" ref="K767:W767">K770+K769+K768</f>
        <v>0</v>
      </c>
      <c r="L767" s="220">
        <f t="shared" si="114"/>
        <v>0</v>
      </c>
      <c r="M767" s="220">
        <f t="shared" si="114"/>
        <v>0</v>
      </c>
      <c r="N767" s="220">
        <f t="shared" si="114"/>
        <v>0</v>
      </c>
      <c r="O767" s="220">
        <f t="shared" si="114"/>
        <v>0</v>
      </c>
      <c r="P767" s="220">
        <f t="shared" si="114"/>
        <v>359000</v>
      </c>
      <c r="Q767" s="220">
        <f t="shared" si="114"/>
        <v>0</v>
      </c>
      <c r="R767" s="220">
        <f t="shared" si="114"/>
        <v>0</v>
      </c>
      <c r="S767" s="220">
        <f t="shared" si="114"/>
        <v>0</v>
      </c>
      <c r="T767" s="220">
        <f t="shared" si="114"/>
        <v>0</v>
      </c>
      <c r="U767" s="220">
        <f t="shared" si="114"/>
        <v>0</v>
      </c>
      <c r="V767" s="220">
        <f t="shared" si="114"/>
        <v>0</v>
      </c>
      <c r="W767" s="220">
        <f t="shared" si="114"/>
        <v>0</v>
      </c>
      <c r="X767" s="221">
        <f t="shared" si="103"/>
        <v>359000</v>
      </c>
    </row>
    <row r="768" spans="2:24" ht="31.5">
      <c r="B768" s="317"/>
      <c r="C768" s="317"/>
      <c r="D768" s="318"/>
      <c r="E768" s="51" t="s">
        <v>515</v>
      </c>
      <c r="F768" s="57"/>
      <c r="G768" s="61"/>
      <c r="H768" s="225"/>
      <c r="I768" s="258">
        <v>3110</v>
      </c>
      <c r="J768" s="9">
        <v>90000</v>
      </c>
      <c r="K768" s="147"/>
      <c r="L768" s="147"/>
      <c r="M768" s="147"/>
      <c r="N768" s="147"/>
      <c r="O768" s="147"/>
      <c r="P768" s="147">
        <v>90000</v>
      </c>
      <c r="Q768" s="147"/>
      <c r="R768" s="147"/>
      <c r="S768" s="147"/>
      <c r="T768" s="147"/>
      <c r="U768" s="147"/>
      <c r="V768" s="147"/>
      <c r="W768" s="147"/>
      <c r="X768" s="221">
        <f t="shared" si="103"/>
        <v>90000</v>
      </c>
    </row>
    <row r="769" spans="2:24" ht="63">
      <c r="B769" s="317"/>
      <c r="C769" s="317"/>
      <c r="D769" s="318"/>
      <c r="E769" s="51" t="s">
        <v>374</v>
      </c>
      <c r="F769" s="57"/>
      <c r="G769" s="61"/>
      <c r="H769" s="225"/>
      <c r="I769" s="258">
        <v>3110</v>
      </c>
      <c r="J769" s="9">
        <v>150000</v>
      </c>
      <c r="K769" s="147"/>
      <c r="L769" s="147"/>
      <c r="M769" s="147"/>
      <c r="N769" s="147"/>
      <c r="O769" s="147"/>
      <c r="P769" s="147">
        <v>150000</v>
      </c>
      <c r="Q769" s="147"/>
      <c r="R769" s="147"/>
      <c r="S769" s="147"/>
      <c r="T769" s="147"/>
      <c r="U769" s="147"/>
      <c r="V769" s="147"/>
      <c r="W769" s="147"/>
      <c r="X769" s="221">
        <f t="shared" si="103"/>
        <v>150000</v>
      </c>
    </row>
    <row r="770" spans="2:24" ht="47.25">
      <c r="B770" s="317"/>
      <c r="C770" s="317"/>
      <c r="D770" s="318"/>
      <c r="E770" s="51" t="s">
        <v>375</v>
      </c>
      <c r="F770" s="57"/>
      <c r="G770" s="61"/>
      <c r="H770" s="225"/>
      <c r="I770" s="258">
        <v>3110</v>
      </c>
      <c r="J770" s="9">
        <v>119000</v>
      </c>
      <c r="K770" s="147"/>
      <c r="L770" s="147"/>
      <c r="M770" s="147"/>
      <c r="N770" s="147"/>
      <c r="O770" s="147"/>
      <c r="P770" s="147">
        <v>119000</v>
      </c>
      <c r="Q770" s="147"/>
      <c r="R770" s="147"/>
      <c r="S770" s="147"/>
      <c r="T770" s="147"/>
      <c r="U770" s="147"/>
      <c r="V770" s="147"/>
      <c r="W770" s="147"/>
      <c r="X770" s="221">
        <f t="shared" si="103"/>
        <v>119000</v>
      </c>
    </row>
    <row r="771" spans="2:24" ht="15.75">
      <c r="B771" s="215"/>
      <c r="C771" s="215"/>
      <c r="D771" s="314" t="s">
        <v>376</v>
      </c>
      <c r="E771" s="315"/>
      <c r="F771" s="142"/>
      <c r="G771" s="143"/>
      <c r="H771" s="254"/>
      <c r="I771" s="271"/>
      <c r="J771" s="144">
        <f>J772+J776</f>
        <v>509436</v>
      </c>
      <c r="K771" s="144">
        <f aca="true" t="shared" si="115" ref="K771:W771">K772+K776</f>
        <v>0</v>
      </c>
      <c r="L771" s="144">
        <f t="shared" si="115"/>
        <v>0</v>
      </c>
      <c r="M771" s="144">
        <f t="shared" si="115"/>
        <v>309436</v>
      </c>
      <c r="N771" s="144">
        <f t="shared" si="115"/>
        <v>0</v>
      </c>
      <c r="O771" s="144">
        <f t="shared" si="115"/>
        <v>0</v>
      </c>
      <c r="P771" s="144">
        <f t="shared" si="115"/>
        <v>0</v>
      </c>
      <c r="Q771" s="144">
        <f t="shared" si="115"/>
        <v>0</v>
      </c>
      <c r="R771" s="144">
        <f t="shared" si="115"/>
        <v>100000</v>
      </c>
      <c r="S771" s="144">
        <f t="shared" si="115"/>
        <v>0</v>
      </c>
      <c r="T771" s="144">
        <f t="shared" si="115"/>
        <v>100000</v>
      </c>
      <c r="U771" s="144">
        <f t="shared" si="115"/>
        <v>0</v>
      </c>
      <c r="V771" s="144">
        <f t="shared" si="115"/>
        <v>0</v>
      </c>
      <c r="W771" s="144">
        <f t="shared" si="115"/>
        <v>309436</v>
      </c>
      <c r="X771" s="221">
        <f t="shared" si="103"/>
        <v>100000</v>
      </c>
    </row>
    <row r="772" spans="2:24" ht="15.75">
      <c r="B772" s="311" t="s">
        <v>594</v>
      </c>
      <c r="C772" s="311" t="s">
        <v>750</v>
      </c>
      <c r="D772" s="307" t="s">
        <v>377</v>
      </c>
      <c r="E772" s="42"/>
      <c r="F772" s="57"/>
      <c r="G772" s="61"/>
      <c r="H772" s="225"/>
      <c r="I772" s="258"/>
      <c r="J772" s="220">
        <f>SUM(J773:J775)</f>
        <v>309436</v>
      </c>
      <c r="K772" s="220">
        <f aca="true" t="shared" si="116" ref="K772:W772">SUM(K773:K775)</f>
        <v>0</v>
      </c>
      <c r="L772" s="220">
        <f t="shared" si="116"/>
        <v>0</v>
      </c>
      <c r="M772" s="220">
        <f t="shared" si="116"/>
        <v>309436</v>
      </c>
      <c r="N772" s="220">
        <f t="shared" si="116"/>
        <v>0</v>
      </c>
      <c r="O772" s="220">
        <f t="shared" si="116"/>
        <v>0</v>
      </c>
      <c r="P772" s="220">
        <f t="shared" si="116"/>
        <v>0</v>
      </c>
      <c r="Q772" s="220">
        <f t="shared" si="116"/>
        <v>0</v>
      </c>
      <c r="R772" s="220">
        <f t="shared" si="116"/>
        <v>0</v>
      </c>
      <c r="S772" s="220">
        <f t="shared" si="116"/>
        <v>0</v>
      </c>
      <c r="T772" s="220">
        <f t="shared" si="116"/>
        <v>0</v>
      </c>
      <c r="U772" s="220">
        <f t="shared" si="116"/>
        <v>0</v>
      </c>
      <c r="V772" s="220">
        <f t="shared" si="116"/>
        <v>0</v>
      </c>
      <c r="W772" s="220">
        <f t="shared" si="116"/>
        <v>309436</v>
      </c>
      <c r="X772" s="221">
        <f t="shared" si="103"/>
        <v>0</v>
      </c>
    </row>
    <row r="773" spans="2:24" ht="110.25">
      <c r="B773" s="313"/>
      <c r="C773" s="313"/>
      <c r="D773" s="308"/>
      <c r="E773" s="51" t="s">
        <v>453</v>
      </c>
      <c r="F773" s="57"/>
      <c r="G773" s="61"/>
      <c r="H773" s="225"/>
      <c r="I773" s="258">
        <v>3220</v>
      </c>
      <c r="J773" s="9">
        <v>281286</v>
      </c>
      <c r="K773" s="147"/>
      <c r="L773" s="148"/>
      <c r="M773" s="147">
        <v>281286</v>
      </c>
      <c r="N773" s="147"/>
      <c r="O773" s="147"/>
      <c r="P773" s="147"/>
      <c r="Q773" s="147"/>
      <c r="R773" s="147"/>
      <c r="S773" s="147"/>
      <c r="T773" s="147"/>
      <c r="U773" s="147"/>
      <c r="V773" s="147"/>
      <c r="W773" s="147">
        <v>281286</v>
      </c>
      <c r="X773" s="221">
        <f t="shared" si="103"/>
        <v>0</v>
      </c>
    </row>
    <row r="774" spans="2:24" ht="78.75">
      <c r="B774" s="313"/>
      <c r="C774" s="313"/>
      <c r="D774" s="308"/>
      <c r="E774" s="51" t="s">
        <v>454</v>
      </c>
      <c r="F774" s="57"/>
      <c r="G774" s="61"/>
      <c r="H774" s="225"/>
      <c r="I774" s="258">
        <v>3220</v>
      </c>
      <c r="J774" s="9">
        <v>5039</v>
      </c>
      <c r="K774" s="147"/>
      <c r="L774" s="148"/>
      <c r="M774" s="148">
        <v>5039</v>
      </c>
      <c r="N774" s="147"/>
      <c r="O774" s="148"/>
      <c r="P774" s="147"/>
      <c r="Q774" s="147"/>
      <c r="R774" s="147"/>
      <c r="S774" s="147"/>
      <c r="T774" s="147"/>
      <c r="U774" s="147"/>
      <c r="V774" s="147"/>
      <c r="W774" s="147">
        <v>5039</v>
      </c>
      <c r="X774" s="221">
        <f t="shared" si="103"/>
        <v>0</v>
      </c>
    </row>
    <row r="775" spans="2:24" ht="110.25">
      <c r="B775" s="312"/>
      <c r="C775" s="312"/>
      <c r="D775" s="310"/>
      <c r="E775" s="51" t="s">
        <v>462</v>
      </c>
      <c r="F775" s="57"/>
      <c r="G775" s="61"/>
      <c r="H775" s="225"/>
      <c r="I775" s="258">
        <v>3220</v>
      </c>
      <c r="J775" s="9">
        <v>23111</v>
      </c>
      <c r="K775" s="147"/>
      <c r="L775" s="147"/>
      <c r="M775" s="148">
        <v>23111</v>
      </c>
      <c r="N775" s="147"/>
      <c r="O775" s="147"/>
      <c r="P775" s="147"/>
      <c r="Q775" s="147"/>
      <c r="R775" s="147"/>
      <c r="S775" s="147"/>
      <c r="T775" s="147"/>
      <c r="U775" s="147"/>
      <c r="V775" s="147"/>
      <c r="W775" s="147">
        <v>23111</v>
      </c>
      <c r="X775" s="221">
        <f t="shared" si="103"/>
        <v>0</v>
      </c>
    </row>
    <row r="776" spans="2:24" ht="15.75">
      <c r="B776" s="311" t="s">
        <v>367</v>
      </c>
      <c r="C776" s="311" t="s">
        <v>750</v>
      </c>
      <c r="D776" s="307" t="s">
        <v>682</v>
      </c>
      <c r="E776" s="42"/>
      <c r="F776" s="57"/>
      <c r="G776" s="61"/>
      <c r="H776" s="225"/>
      <c r="I776" s="258"/>
      <c r="J776" s="220">
        <f>J777</f>
        <v>200000</v>
      </c>
      <c r="K776" s="220">
        <f aca="true" t="shared" si="117" ref="K776:W776">K777</f>
        <v>0</v>
      </c>
      <c r="L776" s="220">
        <f t="shared" si="117"/>
        <v>0</v>
      </c>
      <c r="M776" s="220">
        <f t="shared" si="117"/>
        <v>0</v>
      </c>
      <c r="N776" s="220">
        <f t="shared" si="117"/>
        <v>0</v>
      </c>
      <c r="O776" s="220">
        <f t="shared" si="117"/>
        <v>0</v>
      </c>
      <c r="P776" s="220">
        <f t="shared" si="117"/>
        <v>0</v>
      </c>
      <c r="Q776" s="220">
        <f t="shared" si="117"/>
        <v>0</v>
      </c>
      <c r="R776" s="220">
        <f t="shared" si="117"/>
        <v>100000</v>
      </c>
      <c r="S776" s="220">
        <f t="shared" si="117"/>
        <v>0</v>
      </c>
      <c r="T776" s="220">
        <f t="shared" si="117"/>
        <v>100000</v>
      </c>
      <c r="U776" s="220">
        <f t="shared" si="117"/>
        <v>0</v>
      </c>
      <c r="V776" s="220">
        <f t="shared" si="117"/>
        <v>0</v>
      </c>
      <c r="W776" s="220">
        <f t="shared" si="117"/>
        <v>0</v>
      </c>
      <c r="X776" s="221">
        <f t="shared" si="103"/>
        <v>100000</v>
      </c>
    </row>
    <row r="777" spans="2:24" ht="94.5">
      <c r="B777" s="312"/>
      <c r="C777" s="312"/>
      <c r="D777" s="310"/>
      <c r="E777" s="42" t="s">
        <v>206</v>
      </c>
      <c r="F777" s="57"/>
      <c r="G777" s="61"/>
      <c r="H777" s="225"/>
      <c r="I777" s="258">
        <v>3220</v>
      </c>
      <c r="J777" s="9">
        <v>200000</v>
      </c>
      <c r="K777" s="147"/>
      <c r="L777" s="147"/>
      <c r="M777" s="147"/>
      <c r="N777" s="147"/>
      <c r="O777" s="147"/>
      <c r="P777" s="147"/>
      <c r="Q777" s="147"/>
      <c r="R777" s="147">
        <v>100000</v>
      </c>
      <c r="S777" s="147"/>
      <c r="T777" s="147">
        <v>100000</v>
      </c>
      <c r="U777" s="147"/>
      <c r="V777" s="147"/>
      <c r="W777" s="147"/>
      <c r="X777" s="221">
        <f t="shared" si="103"/>
        <v>100000</v>
      </c>
    </row>
    <row r="778" spans="2:24" ht="15.75">
      <c r="B778" s="197"/>
      <c r="C778" s="197"/>
      <c r="D778" s="199" t="s">
        <v>832</v>
      </c>
      <c r="E778" s="216"/>
      <c r="F778" s="43"/>
      <c r="G778" s="217"/>
      <c r="H778" s="255"/>
      <c r="I778" s="272"/>
      <c r="J778" s="43">
        <f aca="true" t="shared" si="118" ref="J778:W778">J16+J35+J325+J437+J455+J581+J751+J29+J771+J766</f>
        <v>191914307.57000002</v>
      </c>
      <c r="K778" s="43">
        <f t="shared" si="118"/>
        <v>0</v>
      </c>
      <c r="L778" s="43">
        <f t="shared" si="118"/>
        <v>13428009.65</v>
      </c>
      <c r="M778" s="43">
        <f t="shared" si="118"/>
        <v>1472254.6800000002</v>
      </c>
      <c r="N778" s="43">
        <f t="shared" si="118"/>
        <v>93800</v>
      </c>
      <c r="O778" s="43">
        <f t="shared" si="118"/>
        <v>17624370.47</v>
      </c>
      <c r="P778" s="43">
        <f t="shared" si="118"/>
        <v>17943941.51</v>
      </c>
      <c r="Q778" s="43">
        <f t="shared" si="118"/>
        <v>37758702.190000005</v>
      </c>
      <c r="R778" s="43">
        <f t="shared" si="118"/>
        <v>53975859.879999995</v>
      </c>
      <c r="S778" s="43">
        <f t="shared" si="118"/>
        <v>34504739.97</v>
      </c>
      <c r="T778" s="43">
        <f t="shared" si="118"/>
        <v>5089477.859999999</v>
      </c>
      <c r="U778" s="43">
        <f t="shared" si="118"/>
        <v>4226712.2</v>
      </c>
      <c r="V778" s="43">
        <f t="shared" si="118"/>
        <v>5795272</v>
      </c>
      <c r="W778" s="43">
        <f t="shared" si="118"/>
        <v>36369454.96</v>
      </c>
      <c r="X778" s="221">
        <f t="shared" si="103"/>
        <v>105927483.41999999</v>
      </c>
    </row>
    <row r="779" spans="2:24" ht="126">
      <c r="B779" s="179">
        <v>180411</v>
      </c>
      <c r="C779" s="179"/>
      <c r="D779" s="179" t="s">
        <v>640</v>
      </c>
      <c r="E779" s="179" t="s">
        <v>671</v>
      </c>
      <c r="F779" s="178"/>
      <c r="G779" s="218"/>
      <c r="H779" s="178"/>
      <c r="I779" s="274">
        <v>4112</v>
      </c>
      <c r="J779" s="181">
        <f>60118564.8-1418811</f>
        <v>58699753.8</v>
      </c>
      <c r="K779" s="182"/>
      <c r="L779" s="182">
        <v>20058467.86</v>
      </c>
      <c r="M779" s="182">
        <v>13203976.79</v>
      </c>
      <c r="N779" s="182">
        <v>6906813.9</v>
      </c>
      <c r="O779" s="182"/>
      <c r="P779" s="182"/>
      <c r="Q779" s="182"/>
      <c r="R779" s="182">
        <v>-1418811</v>
      </c>
      <c r="S779" s="182">
        <v>13054886.75</v>
      </c>
      <c r="T779" s="182">
        <v>6894419.5</v>
      </c>
      <c r="U779" s="182"/>
      <c r="V779" s="182"/>
      <c r="W779" s="182"/>
      <c r="X779" s="221">
        <f t="shared" si="103"/>
        <v>38750447.55</v>
      </c>
    </row>
    <row r="780" spans="2:24" ht="15.75">
      <c r="B780" s="300" t="s">
        <v>189</v>
      </c>
      <c r="C780" s="301"/>
      <c r="D780" s="302"/>
      <c r="E780" s="180"/>
      <c r="F780" s="178"/>
      <c r="G780" s="218"/>
      <c r="H780" s="178"/>
      <c r="I780" s="273"/>
      <c r="J780" s="183">
        <f>J778+J779</f>
        <v>250614061.37</v>
      </c>
      <c r="K780" s="183">
        <f aca="true" t="shared" si="119" ref="K780:W780">K778+K779</f>
        <v>0</v>
      </c>
      <c r="L780" s="183">
        <f t="shared" si="119"/>
        <v>33486477.509999998</v>
      </c>
      <c r="M780" s="183">
        <f t="shared" si="119"/>
        <v>14676231.469999999</v>
      </c>
      <c r="N780" s="183">
        <f t="shared" si="119"/>
        <v>7000613.9</v>
      </c>
      <c r="O780" s="183">
        <f t="shared" si="119"/>
        <v>17624370.47</v>
      </c>
      <c r="P780" s="183">
        <f t="shared" si="119"/>
        <v>17943941.51</v>
      </c>
      <c r="Q780" s="183">
        <f t="shared" si="119"/>
        <v>37758702.190000005</v>
      </c>
      <c r="R780" s="183">
        <f t="shared" si="119"/>
        <v>52557048.879999995</v>
      </c>
      <c r="S780" s="183">
        <f t="shared" si="119"/>
        <v>47559626.72</v>
      </c>
      <c r="T780" s="183">
        <f t="shared" si="119"/>
        <v>11983897.36</v>
      </c>
      <c r="U780" s="183">
        <f t="shared" si="119"/>
        <v>4226712.2</v>
      </c>
      <c r="V780" s="183">
        <f t="shared" si="119"/>
        <v>5795272</v>
      </c>
      <c r="W780" s="183">
        <f t="shared" si="119"/>
        <v>36369454.96</v>
      </c>
      <c r="X780" s="221">
        <f t="shared" si="103"/>
        <v>144677930.97</v>
      </c>
    </row>
  </sheetData>
  <sheetProtection/>
  <mergeCells count="187">
    <mergeCell ref="D582:D584"/>
    <mergeCell ref="C582:C584"/>
    <mergeCell ref="B582:B584"/>
    <mergeCell ref="B36:B124"/>
    <mergeCell ref="B125:B219"/>
    <mergeCell ref="C125:C219"/>
    <mergeCell ref="B236:B242"/>
    <mergeCell ref="C236:C242"/>
    <mergeCell ref="B752:B753"/>
    <mergeCell ref="C752:C753"/>
    <mergeCell ref="D752:D753"/>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4:I505"/>
    <mergeCell ref="D236:D242"/>
    <mergeCell ref="C248:C268"/>
    <mergeCell ref="D27:D28"/>
    <mergeCell ref="D306:D309"/>
    <mergeCell ref="C306:C309"/>
    <mergeCell ref="C220:C228"/>
    <mergeCell ref="D220:D228"/>
    <mergeCell ref="C27:C28"/>
    <mergeCell ref="B306:B309"/>
    <mergeCell ref="B220:B228"/>
    <mergeCell ref="D271:D287"/>
    <mergeCell ref="D269:D270"/>
    <mergeCell ref="B296:B305"/>
    <mergeCell ref="B243:B247"/>
    <mergeCell ref="B9:I9"/>
    <mergeCell ref="B232:B235"/>
    <mergeCell ref="C232:C235"/>
    <mergeCell ref="D232:D235"/>
    <mergeCell ref="C229:C231"/>
    <mergeCell ref="B229:B231"/>
    <mergeCell ref="C36:C124"/>
    <mergeCell ref="D17:D26"/>
    <mergeCell ref="D16:E16"/>
    <mergeCell ref="B17:B26"/>
    <mergeCell ref="B310:B324"/>
    <mergeCell ref="C310:C324"/>
    <mergeCell ref="D310:D324"/>
    <mergeCell ref="C243:C247"/>
    <mergeCell ref="D243:D247"/>
    <mergeCell ref="B288:B290"/>
    <mergeCell ref="C288:C290"/>
    <mergeCell ref="D288:D290"/>
    <mergeCell ref="B271:B287"/>
    <mergeCell ref="C271:C287"/>
    <mergeCell ref="B402:B429"/>
    <mergeCell ref="C402:C429"/>
    <mergeCell ref="D402:D429"/>
    <mergeCell ref="B377:B401"/>
    <mergeCell ref="C377:C401"/>
    <mergeCell ref="D377:D401"/>
    <mergeCell ref="B430:B432"/>
    <mergeCell ref="C430:C432"/>
    <mergeCell ref="D430:D432"/>
    <mergeCell ref="B433:B436"/>
    <mergeCell ref="C433:C436"/>
    <mergeCell ref="D433:D436"/>
    <mergeCell ref="B438:B444"/>
    <mergeCell ref="C438:C444"/>
    <mergeCell ref="D438:D444"/>
    <mergeCell ref="B445:B446"/>
    <mergeCell ref="C445:C446"/>
    <mergeCell ref="D445:D446"/>
    <mergeCell ref="B447:B454"/>
    <mergeCell ref="C447:C454"/>
    <mergeCell ref="D447:D454"/>
    <mergeCell ref="B458:B473"/>
    <mergeCell ref="C458:C473"/>
    <mergeCell ref="D458:D473"/>
    <mergeCell ref="B456:B457"/>
    <mergeCell ref="C456:C457"/>
    <mergeCell ref="D456:D457"/>
    <mergeCell ref="B474:B476"/>
    <mergeCell ref="C474:C476"/>
    <mergeCell ref="D474:D476"/>
    <mergeCell ref="B477:B494"/>
    <mergeCell ref="C477:C494"/>
    <mergeCell ref="D477:D494"/>
    <mergeCell ref="B495:B497"/>
    <mergeCell ref="C495:C497"/>
    <mergeCell ref="D495:D497"/>
    <mergeCell ref="B498:B521"/>
    <mergeCell ref="C498:C521"/>
    <mergeCell ref="D498:D521"/>
    <mergeCell ref="B522:B567"/>
    <mergeCell ref="C522:C567"/>
    <mergeCell ref="D522:D567"/>
    <mergeCell ref="B568:B569"/>
    <mergeCell ref="C568:C569"/>
    <mergeCell ref="D568:D569"/>
    <mergeCell ref="B570:B572"/>
    <mergeCell ref="C570:C572"/>
    <mergeCell ref="D570:D572"/>
    <mergeCell ref="B573:B575"/>
    <mergeCell ref="C573:C575"/>
    <mergeCell ref="D573:D575"/>
    <mergeCell ref="B576:B580"/>
    <mergeCell ref="C576:C580"/>
    <mergeCell ref="D576:D580"/>
    <mergeCell ref="D766:E766"/>
    <mergeCell ref="B585:B590"/>
    <mergeCell ref="C585:C590"/>
    <mergeCell ref="D585:D590"/>
    <mergeCell ref="B591:B602"/>
    <mergeCell ref="C591:C602"/>
    <mergeCell ref="D591:D602"/>
    <mergeCell ref="B603:B604"/>
    <mergeCell ref="C603:C604"/>
    <mergeCell ref="D603:D604"/>
    <mergeCell ref="B605:B606"/>
    <mergeCell ref="C605:C606"/>
    <mergeCell ref="D605:D606"/>
    <mergeCell ref="B726:B730"/>
    <mergeCell ref="C726:C730"/>
    <mergeCell ref="D726:D730"/>
    <mergeCell ref="B616:B667"/>
    <mergeCell ref="C616:C667"/>
    <mergeCell ref="D616:D667"/>
    <mergeCell ref="B668:B673"/>
    <mergeCell ref="C668:C673"/>
    <mergeCell ref="D668:D673"/>
    <mergeCell ref="B674:B725"/>
    <mergeCell ref="C674:C725"/>
    <mergeCell ref="D674:D725"/>
    <mergeCell ref="B607:B611"/>
    <mergeCell ref="C607:C611"/>
    <mergeCell ref="D607:D611"/>
    <mergeCell ref="B612:B615"/>
    <mergeCell ref="C612:C615"/>
    <mergeCell ref="D612:D615"/>
    <mergeCell ref="D751:E751"/>
    <mergeCell ref="D29:E29"/>
    <mergeCell ref="D35:E35"/>
    <mergeCell ref="D325:E325"/>
    <mergeCell ref="D30:D34"/>
    <mergeCell ref="D36:D124"/>
    <mergeCell ref="E504:E505"/>
    <mergeCell ref="D229:D231"/>
    <mergeCell ref="D125:D219"/>
    <mergeCell ref="D326:D376"/>
    <mergeCell ref="B754:B765"/>
    <mergeCell ref="C776:C777"/>
    <mergeCell ref="D776:D777"/>
    <mergeCell ref="D437:E437"/>
    <mergeCell ref="D455:E455"/>
    <mergeCell ref="D581:E581"/>
    <mergeCell ref="C731:C750"/>
    <mergeCell ref="D731:D750"/>
    <mergeCell ref="C754:C765"/>
    <mergeCell ref="D754:D765"/>
    <mergeCell ref="B767:B770"/>
    <mergeCell ref="C767:C770"/>
    <mergeCell ref="D767:D770"/>
    <mergeCell ref="B772:B775"/>
    <mergeCell ref="B780:D780"/>
    <mergeCell ref="C296:C305"/>
    <mergeCell ref="D296:D305"/>
    <mergeCell ref="B269:B270"/>
    <mergeCell ref="C269:C270"/>
    <mergeCell ref="B776:B777"/>
    <mergeCell ref="C772:C775"/>
    <mergeCell ref="D772:D775"/>
    <mergeCell ref="D771:E771"/>
    <mergeCell ref="B731:B750"/>
    <mergeCell ref="B13:I13"/>
    <mergeCell ref="C17:C26"/>
    <mergeCell ref="B30:B34"/>
    <mergeCell ref="C30:C34"/>
    <mergeCell ref="B27:B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2015-06-03T08:40:19Z</cp:lastPrinted>
  <dcterms:created xsi:type="dcterms:W3CDTF">2014-01-17T10:52:16Z</dcterms:created>
  <dcterms:modified xsi:type="dcterms:W3CDTF">2015-08-05T13:03:05Z</dcterms:modified>
  <cp:category/>
  <cp:version/>
  <cp:contentType/>
  <cp:contentStatus/>
</cp:coreProperties>
</file>